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75" windowWidth="11835" windowHeight="4365" activeTab="0"/>
  </bookViews>
  <sheets>
    <sheet name="Κολοκοτέ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<sst xmlns="http://schemas.openxmlformats.org/spreadsheetml/2006/main" count="170" uniqueCount="62">
  <si>
    <t>ΚΟΛΟΚΟΤΕΣ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</si>
  <si>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</si>
  <si>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</si>
  <si>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</si>
  <si>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</si>
  <si>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</si>
  <si>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</si>
  <si>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</si>
  <si>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</si>
  <si>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</si>
  <si>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</si>
  <si>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</si>
  <si>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</si>
  <si>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</si>
  <si>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</si>
  <si>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</si>
  <si>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</si>
  <si>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</si>
  <si>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</si>
  <si>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</si>
  <si>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</si>
  <si>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</si>
  <si>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</si>
  <si>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5 φλιτζ αλεύρι</t>
  </si>
  <si>
    <t>-</t>
  </si>
  <si>
    <t>3/4 φλιτζ λάδι</t>
  </si>
  <si>
    <t>tr</t>
  </si>
  <si>
    <t>n</t>
  </si>
  <si>
    <t>1 κ.γλ. Μαγιά</t>
  </si>
  <si>
    <t>νερό</t>
  </si>
  <si>
    <t>1 1/2 κιλό κολοκύθι κόκκινο</t>
  </si>
  <si>
    <t>1/2 φλιτζ ελαιόλαδο</t>
  </si>
  <si>
    <t>1/4 φλιτζ πουργούρι</t>
  </si>
  <si>
    <t>1 κρεμμύδι ψιλοκομμένο</t>
  </si>
  <si>
    <t>αλάτι</t>
  </si>
  <si>
    <t>πιπέρι</t>
  </si>
  <si>
    <t>κανέλα</t>
  </si>
  <si>
    <t>σταφιδάκια (προαιρετικά)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</si>
  <si>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</si>
  <si>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</si>
  <si>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</si>
  <si>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</si>
  <si>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</si>
  <si>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</si>
  <si>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</si>
  <si>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</si>
  <si>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</si>
  <si>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</si>
  <si>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</si>
  <si>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</si>
  <si>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</si>
  <si>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</si>
  <si>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</si>
  <si>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</si>
  <si>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</si>
  <si>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</si>
  <si>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</si>
  <si>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</si>
  <si>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</si>
  <si>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</si>
  <si>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</si>
  <si>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trt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</si>
</sst>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7"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19" fillId="0" borderId="0" xfId="56" applyNumberFormat="1" applyFont="1" applyAlignment="1">
      <alignment wrapText="1" shrinkToFit="1"/>
      <protection/>
    </xf>
    <xf numFmtId="2" fontId="0" fillId="0" borderId="0" xfId="56" applyNumberFormat="1" applyAlignment="1">
      <alignment wrapTex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2" fontId="0" fillId="0" borderId="16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38">
          <cell r="B38">
            <v>39</v>
          </cell>
          <cell r="C38">
            <v>87.9</v>
          </cell>
          <cell r="D38">
            <v>9.8</v>
          </cell>
          <cell r="E38">
            <v>1.2</v>
          </cell>
          <cell r="F38">
            <v>0.1</v>
          </cell>
          <cell r="G38">
            <v>1</v>
          </cell>
          <cell r="K38">
            <v>26</v>
          </cell>
          <cell r="L38">
            <v>36</v>
          </cell>
          <cell r="M38">
            <v>30</v>
          </cell>
          <cell r="R38">
            <v>0.8</v>
          </cell>
          <cell r="W38">
            <v>0.07</v>
          </cell>
          <cell r="X38">
            <v>0.17</v>
          </cell>
          <cell r="Y38">
            <v>2177</v>
          </cell>
          <cell r="Z38">
            <v>0.5</v>
          </cell>
          <cell r="AD38">
            <v>6</v>
          </cell>
          <cell r="AH38">
            <v>2.3076923076923075</v>
          </cell>
          <cell r="AI38">
            <v>12.307692307692308</v>
          </cell>
          <cell r="AJ38">
            <v>100.51282051282053</v>
          </cell>
          <cell r="AK38">
            <v>0</v>
          </cell>
          <cell r="AL38">
            <v>0</v>
          </cell>
        </row>
        <row r="68">
          <cell r="B68">
            <v>342</v>
          </cell>
          <cell r="C68">
            <v>11</v>
          </cell>
          <cell r="D68">
            <v>73</v>
          </cell>
          <cell r="E68">
            <v>11.9</v>
          </cell>
          <cell r="F68">
            <v>2.8</v>
          </cell>
          <cell r="G68">
            <v>9.3</v>
          </cell>
          <cell r="N68">
            <v>15.8</v>
          </cell>
          <cell r="AH68">
            <v>7.368421052631579</v>
          </cell>
          <cell r="AI68">
            <v>13.91812865497076</v>
          </cell>
          <cell r="AJ68">
            <v>85.38011695906432</v>
          </cell>
          <cell r="AK68">
            <v>0</v>
          </cell>
          <cell r="AL68">
            <v>0</v>
          </cell>
        </row>
        <row r="81">
          <cell r="B81">
            <v>272</v>
          </cell>
          <cell r="C81">
            <v>13.2</v>
          </cell>
          <cell r="D81">
            <v>69.3</v>
          </cell>
          <cell r="E81">
            <v>2.1</v>
          </cell>
          <cell r="F81">
            <v>0.4</v>
          </cell>
          <cell r="G81">
            <v>6.1</v>
          </cell>
          <cell r="H81">
            <v>0</v>
          </cell>
          <cell r="I81">
            <v>0</v>
          </cell>
          <cell r="J81">
            <v>69.3</v>
          </cell>
          <cell r="K81">
            <v>46</v>
          </cell>
          <cell r="L81">
            <v>76</v>
          </cell>
          <cell r="M81">
            <v>35</v>
          </cell>
          <cell r="N81">
            <v>9</v>
          </cell>
          <cell r="O81">
            <v>0.3</v>
          </cell>
          <cell r="P81">
            <v>60</v>
          </cell>
          <cell r="Q81">
            <v>1020</v>
          </cell>
          <cell r="R81">
            <v>3.8</v>
          </cell>
          <cell r="S81">
            <v>0.7</v>
          </cell>
          <cell r="T81">
            <v>0.39</v>
          </cell>
          <cell r="U81">
            <v>8</v>
          </cell>
          <cell r="V81" t="str">
            <v>n</v>
          </cell>
          <cell r="W81">
            <v>0.12</v>
          </cell>
          <cell r="X81">
            <v>0.05</v>
          </cell>
          <cell r="Y81">
            <v>12</v>
          </cell>
          <cell r="Z81">
            <v>0.6</v>
          </cell>
          <cell r="AA81">
            <v>0.25</v>
          </cell>
          <cell r="AB81">
            <v>0</v>
          </cell>
          <cell r="AC81">
            <v>10</v>
          </cell>
          <cell r="AD81">
            <v>1</v>
          </cell>
          <cell r="AE81">
            <v>0</v>
          </cell>
          <cell r="AF81">
            <v>0</v>
          </cell>
          <cell r="AG81" t="str">
            <v>n</v>
          </cell>
          <cell r="AH81">
            <v>1.3235294117647058</v>
          </cell>
          <cell r="AI81">
            <v>3.088235294117647</v>
          </cell>
          <cell r="AJ81">
            <v>101.91176470588235</v>
          </cell>
          <cell r="AL81">
            <v>101.91176470588235</v>
          </cell>
          <cell r="AM81" t="str">
            <v>n</v>
          </cell>
          <cell r="AN81" t="str">
            <v>n</v>
          </cell>
          <cell r="AO81" t="str">
            <v>n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11">
          <cell r="B111">
            <v>172</v>
          </cell>
          <cell r="C111">
            <v>6.3</v>
          </cell>
          <cell r="D111">
            <v>37.8</v>
          </cell>
          <cell r="E111">
            <v>5.2</v>
          </cell>
          <cell r="F111" t="str">
            <v>tr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12.093023255813954</v>
          </cell>
          <cell r="AJ111">
            <v>87.90697674418604</v>
          </cell>
          <cell r="AK111">
            <v>0</v>
          </cell>
          <cell r="AL111">
            <v>0</v>
          </cell>
          <cell r="AM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8"/>
  <sheetViews>
    <sheetView tabSelected="1" view="pageLayout" zoomScale="55" zoomScaleNormal="55" zoomScalePageLayoutView="55" workbookViewId="0" topLeftCell="A23">
      <selection activeCell="H20" sqref="H20"/>
    </sheetView>
  </sheetViews>
  <sheetFormatPr defaultColWidth="9.140625" defaultRowHeight="15"/>
  <cols>
    <col min="1" max="1" width="20.00390625" style="1" customWidth="1"/>
    <col min="2" max="2" width="17.8515625" style="2" customWidth="1"/>
    <col min="3" max="3" width="9.140625" style="2" customWidth="1"/>
    <col min="4" max="4" width="12.421875" style="2" customWidth="1"/>
    <col min="5" max="5" width="16.421875" style="2" customWidth="1"/>
    <col min="6" max="8" width="9.140625" style="2" customWidth="1"/>
    <col min="9" max="9" width="11.8515625" style="2" customWidth="1"/>
    <col min="10" max="12" width="9.140625" style="2" customWidth="1"/>
    <col min="13" max="13" width="12.140625" style="2" customWidth="1"/>
    <col min="14" max="14" width="14.28125" style="2" customWidth="1"/>
    <col min="15" max="15" width="9.140625" style="2" customWidth="1"/>
    <col min="16" max="16" width="13.57421875" style="2" customWidth="1"/>
    <col min="17" max="17" width="9.140625" style="2" customWidth="1"/>
    <col min="18" max="18" width="11.28125" style="2" customWidth="1"/>
    <col min="19" max="21" width="9.140625" style="2" customWidth="1"/>
    <col min="22" max="22" width="12.140625" style="2" customWidth="1"/>
    <col min="23" max="16384" width="9.140625" style="2" customWidth="1"/>
  </cols>
  <sheetData>
    <row r="1" spans="1:47" ht="15">
      <c r="A1" s="1" t="s">
        <v>0</v>
      </c>
      <c r="AQ1" s="3"/>
      <c r="AR1" s="3"/>
      <c r="AS1" s="3"/>
      <c r="AT1" s="3"/>
      <c r="AU1" s="3"/>
    </row>
    <row r="2" spans="1:2" ht="14.25">
      <c r="A2" s="4" t="s">
        <v>1</v>
      </c>
      <c r="B2" s="4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625</v>
      </c>
      <c r="C5" s="9">
        <f>6.25*'[1]ΣΥΣΤΑΣΗ ΤΡΟΦΙΜΩΝ'!B6</f>
        <v>2131.25</v>
      </c>
      <c r="D5" s="9">
        <f>6.25*'[1]ΣΥΣΤΑΣΗ ΤΡΟΦΙΜΩΝ'!C6</f>
        <v>87.5</v>
      </c>
      <c r="E5" s="9">
        <f>6.25*'[1]ΣΥΣΤΑΣΗ ΤΡΟΦΙΜΩΝ'!D6</f>
        <v>470.625</v>
      </c>
      <c r="F5" s="9">
        <f>6.25*'[1]ΣΥΣΤΑΣΗ ΤΡΟΦΙΜΩΝ'!E6</f>
        <v>71.875</v>
      </c>
      <c r="G5" s="9">
        <f>6.25*'[1]ΣΥΣΤΑΣΗ ΤΡΟΦΙΜΩΝ'!F6</f>
        <v>8.75</v>
      </c>
      <c r="H5" s="9">
        <f>6.25*'[1]ΣΥΣΤΑΣΗ ΤΡΟΦΙΜΩΝ'!G6</f>
        <v>23.125</v>
      </c>
      <c r="I5" s="9">
        <f>6.25*'[1]ΣΥΣΤΑΣΗ ΤΡΟΦΙΜΩΝ'!H6</f>
        <v>0</v>
      </c>
      <c r="J5" s="9">
        <f>6.25*'[1]ΣΥΣΤΑΣΗ ΤΡΟΦΙΜΩΝ'!I6</f>
        <v>461.87500000000006</v>
      </c>
      <c r="K5" s="9">
        <f>6.25*'[1]ΣΥΣΤΑΣΗ ΤΡΟΦΙΜΩΝ'!J6</f>
        <v>8.75</v>
      </c>
      <c r="L5" s="9">
        <f>6.25*'[1]ΣΥΣΤΑΣΗ ΤΡΟΦΙΜΩΝ'!K6</f>
        <v>93.75</v>
      </c>
      <c r="M5" s="9">
        <f>6.25*'[1]ΣΥΣΤΑΣΗ ΤΡΟΦΙΜΩΝ'!L6</f>
        <v>750</v>
      </c>
      <c r="N5" s="9">
        <f>6.25*'[1]ΣΥΣΤΑΣΗ ΤΡΟΦΙΜΩΝ'!M6</f>
        <v>193.75</v>
      </c>
      <c r="O5" s="9" t="s">
        <v>24</v>
      </c>
      <c r="P5" s="9" t="s">
        <v>24</v>
      </c>
      <c r="Q5" s="9">
        <f>6.25*'[1]ΣΥΣΤΑΣΗ ΤΡΟΦΙΜΩΝ'!P6</f>
        <v>18.75</v>
      </c>
      <c r="R5" s="9">
        <f>6.25*'[1]ΣΥΣΤΑΣΗ ΤΡΟΦΙΜΩΝ'!Q6</f>
        <v>812.5</v>
      </c>
      <c r="S5" s="9">
        <f>6.25*'[1]ΣΥΣΤΑΣΗ ΤΡΟΦΙΜΩΝ'!R6</f>
        <v>9.375</v>
      </c>
      <c r="T5" s="9">
        <f>6.25*'[1]ΣΥΣΤΑΣΗ ΤΡΟΦΙΜΩΝ'!S6</f>
        <v>5.625</v>
      </c>
      <c r="U5" s="9">
        <f>6.25*'[1]ΣΥΣΤΑΣΗ ΤΡΟΦΙΜΩΝ'!T6</f>
        <v>1.125</v>
      </c>
      <c r="V5" s="10">
        <f>6.25*'[1]ΣΥΣΤΑΣΗ ΤΡΟΦΙΜΩΝ'!U6</f>
        <v>262.5</v>
      </c>
    </row>
    <row r="6" spans="1:22" ht="14.25">
      <c r="A6" s="8" t="s">
        <v>25</v>
      </c>
      <c r="B6" s="9">
        <v>165</v>
      </c>
      <c r="C6" s="9">
        <f>1.65*'[1]ΣΥΣΤΑΣΗ ΤΡΟΦΙΜΩΝ'!B22</f>
        <v>1483.35</v>
      </c>
      <c r="D6" s="9" t="s">
        <v>26</v>
      </c>
      <c r="E6" s="9" t="s">
        <v>26</v>
      </c>
      <c r="F6" s="9" t="s">
        <v>26</v>
      </c>
      <c r="G6" s="9">
        <f>1.65*'[1]ΣΥΣΤΑΣΗ ΤΡΟΦΙΜΩΝ'!F22</f>
        <v>164.835</v>
      </c>
      <c r="H6" s="9">
        <f>1.65*'[1]ΣΥΣΤΑΣΗ ΤΡΟΦΙΜΩΝ'!G22</f>
        <v>0</v>
      </c>
      <c r="I6" s="9">
        <f>1.65*'[1]ΣΥΣΤΑΣΗ ΤΡΟΦΙΜΩΝ'!H22</f>
        <v>0</v>
      </c>
      <c r="J6" s="9">
        <f>1.65*'[1]ΣΥΣΤΑΣΗ ΤΡΟΦΙΜΩΝ'!I22</f>
        <v>0</v>
      </c>
      <c r="K6" s="9">
        <f>1.65*'[1]ΣΥΣΤΑΣΗ ΤΡΟΦΙΜΩΝ'!J22</f>
        <v>0</v>
      </c>
      <c r="L6" s="9" t="s">
        <v>26</v>
      </c>
      <c r="M6" s="9" t="s">
        <v>26</v>
      </c>
      <c r="N6" s="9" t="s">
        <v>26</v>
      </c>
      <c r="O6" s="9" t="s">
        <v>24</v>
      </c>
      <c r="P6" s="9" t="s">
        <v>24</v>
      </c>
      <c r="Q6" s="9" t="s">
        <v>26</v>
      </c>
      <c r="R6" s="9" t="s">
        <v>27</v>
      </c>
      <c r="S6" s="9" t="s">
        <v>26</v>
      </c>
      <c r="T6" s="9" t="s">
        <v>26</v>
      </c>
      <c r="U6" s="9" t="s">
        <v>26</v>
      </c>
      <c r="V6" s="10" t="s">
        <v>26</v>
      </c>
    </row>
    <row r="7" spans="1:22" ht="14.25">
      <c r="A7" s="8" t="s">
        <v>28</v>
      </c>
      <c r="B7" s="9">
        <v>5</v>
      </c>
      <c r="C7" s="9">
        <f>0.05*'[2]ΣΥΣΤΑΣΗ ΤΡΟΦΙΜΩΝ'!B111</f>
        <v>8.6</v>
      </c>
      <c r="D7" s="9">
        <f>0.05*'[2]ΣΥΣΤΑΣΗ ΤΡΟΦΙΜΩΝ'!C111</f>
        <v>0.315</v>
      </c>
      <c r="E7" s="9">
        <f>0.05*'[2]ΣΥΣΤΑΣΗ ΤΡΟΦΙΜΩΝ'!D111</f>
        <v>1.89</v>
      </c>
      <c r="F7" s="9">
        <f>0.05*'[2]ΣΥΣΤΑΣΗ ΤΡΟΦΙΜΩΝ'!E111</f>
        <v>0.26</v>
      </c>
      <c r="G7" s="9" t="str">
        <f>'[2]ΣΥΣΤΑΣΗ ΤΡΟΦΙΜΩΝ'!F111</f>
        <v>tr</v>
      </c>
      <c r="H7" s="9">
        <f>0.05*'[2]ΣΥΣΤΑΣΗ ΤΡΟΦΙΜΩΝ'!G111</f>
        <v>0</v>
      </c>
      <c r="I7" s="9">
        <f>0.05*'[2]ΣΥΣΤΑΣΗ ΤΡΟΦΙΜΩΝ'!H111</f>
        <v>0</v>
      </c>
      <c r="J7" s="9">
        <f>0.05*'[2]ΣΥΣΤΑΣΗ ΤΡΟΦΙΜΩΝ'!I111</f>
        <v>1.89</v>
      </c>
      <c r="K7" s="9" t="str">
        <f>'[2]ΣΥΣΤΑΣΗ ΤΡΟΦΙΜΩΝ'!J111</f>
        <v>tr</v>
      </c>
      <c r="L7" s="9">
        <f>0.05*'[2]ΣΥΣΤΑΣΗ ΤΡΟΦΙΜΩΝ'!K111</f>
        <v>56.5</v>
      </c>
      <c r="M7" s="9">
        <f>0.05*'[2]ΣΥΣΤΑΣΗ ΤΡΟΦΙΜΩΝ'!L111</f>
        <v>421.5</v>
      </c>
      <c r="N7" s="9">
        <f>0.05*'[2]ΣΥΣΤΑΣΗ ΤΡΟΦΙΜΩΝ'!M111</f>
        <v>0.45</v>
      </c>
      <c r="O7" s="9">
        <f>0.05*'[2]ΣΥΣΤΑΣΗ ΤΡΟΦΙΜΩΝ'!N111</f>
        <v>1.4500000000000002</v>
      </c>
      <c r="P7" s="9" t="str">
        <f>'[2]ΣΥΣΤΑΣΗ ΤΡΟΦΙΜΩΝ'!O111</f>
        <v>tr</v>
      </c>
      <c r="Q7" s="9">
        <f>0.05*'[2]ΣΥΣΤΑΣΗ ΤΡΟΦΙΜΩΝ'!P111</f>
        <v>590</v>
      </c>
      <c r="R7" s="9">
        <f>0.05*'[2]ΣΥΣΤΑΣΗ ΤΡΟΦΙΜΩΝ'!Q111</f>
        <v>2.45</v>
      </c>
      <c r="S7" s="9" t="str">
        <f>'[2]ΣΥΣΤΑΣΗ ΤΡΟΦΙΜΩΝ'!R111</f>
        <v>tr</v>
      </c>
      <c r="T7" s="9">
        <f>0.05*'[2]ΣΥΣΤΑΣΗ ΤΡΟΦΙΜΩΝ'!S111</f>
        <v>0.13999999999999999</v>
      </c>
      <c r="U7" s="9" t="str">
        <f>'[2]ΣΥΣΤΑΣΗ ΤΡΟΦΙΜΩΝ'!T111</f>
        <v>tr</v>
      </c>
      <c r="V7" s="10" t="str">
        <f>'[2]ΣΥΣΤΑΣΗ ΤΡΟΦΙΜΩΝ'!U111</f>
        <v>tr</v>
      </c>
    </row>
    <row r="8" spans="1:22" ht="14.25">
      <c r="A8" s="8" t="s">
        <v>29</v>
      </c>
      <c r="B8" s="9">
        <v>312.5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ht="28.5">
      <c r="A9" s="8" t="s">
        <v>30</v>
      </c>
      <c r="B9" s="9">
        <f>1500-D9</f>
        <v>840.75</v>
      </c>
      <c r="C9" s="9">
        <f>15*'[1]ΣΥΣΤΑΣΗ ΤΡΟΦΙΜΩΝ'!B38</f>
        <v>585</v>
      </c>
      <c r="D9" s="9">
        <f>15*'[1]ΣΥΣΤΑΣΗ ΤΡΟΦΙΜΩΝ'!C38/2</f>
        <v>659.25</v>
      </c>
      <c r="E9" s="9">
        <f>15*'[1]ΣΥΣΤΑΣΗ ΤΡΟΦΙΜΩΝ'!D38</f>
        <v>147</v>
      </c>
      <c r="F9" s="9">
        <f>15*'[1]ΣΥΣΤΑΣΗ ΤΡΟΦΙΜΩΝ'!E38</f>
        <v>18</v>
      </c>
      <c r="G9" s="9">
        <f>15*'[1]ΣΥΣΤΑΣΗ ΤΡΟΦΙΜΩΝ'!F38</f>
        <v>1.5</v>
      </c>
      <c r="H9" s="9">
        <f>15*'[1]ΣΥΣΤΑΣΗ ΤΡΟΦΙΜΩΝ'!G38</f>
        <v>15</v>
      </c>
      <c r="I9" s="9" t="s">
        <v>24</v>
      </c>
      <c r="J9" s="9" t="s">
        <v>24</v>
      </c>
      <c r="K9" s="9" t="s">
        <v>24</v>
      </c>
      <c r="L9" s="9">
        <f>15*'[1]ΣΥΣΤΑΣΗ ΤΡΟΦΙΜΩΝ'!K38</f>
        <v>390</v>
      </c>
      <c r="M9" s="9">
        <f>15*'[1]ΣΥΣΤΑΣΗ ΤΡΟΦΙΜΩΝ'!L38</f>
        <v>540</v>
      </c>
      <c r="N9" s="9">
        <f>15*'[1]ΣΥΣΤΑΣΗ ΤΡΟΦΙΜΩΝ'!M38</f>
        <v>450</v>
      </c>
      <c r="O9" s="9" t="s">
        <v>24</v>
      </c>
      <c r="P9" s="9" t="s">
        <v>24</v>
      </c>
      <c r="Q9" s="9" t="s">
        <v>24</v>
      </c>
      <c r="R9" s="9" t="s">
        <v>24</v>
      </c>
      <c r="S9" s="9">
        <f>15*'[1]ΣΥΣΤΑΣΗ ΤΡΟΦΙΜΩΝ'!R38</f>
        <v>12</v>
      </c>
      <c r="T9" s="9" t="s">
        <v>24</v>
      </c>
      <c r="U9" s="9" t="s">
        <v>24</v>
      </c>
      <c r="V9" s="10" t="s">
        <v>24</v>
      </c>
    </row>
    <row r="10" spans="1:22" ht="14.25">
      <c r="A10" s="8" t="s">
        <v>31</v>
      </c>
      <c r="B10" s="9">
        <v>110</v>
      </c>
      <c r="C10" s="9">
        <f>1.1*'[1]ΣΥΣΤΑΣΗ ΤΡΟΦΙΜΩΝ'!B22</f>
        <v>988.9000000000001</v>
      </c>
      <c r="D10" s="9" t="s">
        <v>26</v>
      </c>
      <c r="E10" s="9" t="s">
        <v>26</v>
      </c>
      <c r="F10" s="9" t="s">
        <v>26</v>
      </c>
      <c r="G10" s="9">
        <f>1.1*'[1]ΣΥΣΤΑΣΗ ΤΡΟΦΙΜΩΝ'!F22</f>
        <v>109.89000000000001</v>
      </c>
      <c r="H10" s="9">
        <f>1.1*'[1]ΣΥΣΤΑΣΗ ΤΡΟΦΙΜΩΝ'!G22</f>
        <v>0</v>
      </c>
      <c r="I10" s="9">
        <f>1.1*'[1]ΣΥΣΤΑΣΗ ΤΡΟΦΙΜΩΝ'!H22</f>
        <v>0</v>
      </c>
      <c r="J10" s="9">
        <f>1.1*'[1]ΣΥΣΤΑΣΗ ΤΡΟΦΙΜΩΝ'!I22</f>
        <v>0</v>
      </c>
      <c r="K10" s="9">
        <f>1.1*'[1]ΣΥΣΤΑΣΗ ΤΡΟΦΙΜΩΝ'!J22</f>
        <v>0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27</v>
      </c>
      <c r="S10" s="9" t="s">
        <v>26</v>
      </c>
      <c r="T10" s="9" t="s">
        <v>26</v>
      </c>
      <c r="U10" s="9" t="s">
        <v>26</v>
      </c>
      <c r="V10" s="10" t="s">
        <v>26</v>
      </c>
    </row>
    <row r="11" spans="1:22" ht="14.25">
      <c r="A11" s="8" t="s">
        <v>32</v>
      </c>
      <c r="B11" s="9">
        <v>50</v>
      </c>
      <c r="C11" s="9">
        <f>0.5*'[1]ΣΥΣΤΑΣΗ ΤΡΟΦΙΜΩΝ'!B68</f>
        <v>171</v>
      </c>
      <c r="D11" s="9">
        <f>0.5*'[1]ΣΥΣΤΑΣΗ ΤΡΟΦΙΜΩΝ'!C68</f>
        <v>5.5</v>
      </c>
      <c r="E11" s="9">
        <f>0.5*'[1]ΣΥΣΤΑΣΗ ΤΡΟΦΙΜΩΝ'!D68</f>
        <v>36.5</v>
      </c>
      <c r="F11" s="9">
        <f>0.5*'[1]ΣΥΣΤΑΣΗ ΤΡΟΦΙΜΩΝ'!E68</f>
        <v>5.95</v>
      </c>
      <c r="G11" s="9">
        <f>0.5*'[1]ΣΥΣΤΑΣΗ ΤΡΟΦΙΜΩΝ'!F68</f>
        <v>1.4</v>
      </c>
      <c r="H11" s="9">
        <f>0.5*'[1]ΣΥΣΤΑΣΗ ΤΡΟΦΙΜΩΝ'!G68</f>
        <v>4.65</v>
      </c>
      <c r="I11" s="9" t="s">
        <v>24</v>
      </c>
      <c r="J11" s="9" t="s">
        <v>24</v>
      </c>
      <c r="K11" s="9" t="s">
        <v>24</v>
      </c>
      <c r="L11" s="9" t="s">
        <v>24</v>
      </c>
      <c r="M11" s="9" t="s">
        <v>24</v>
      </c>
      <c r="N11" s="9" t="s">
        <v>24</v>
      </c>
      <c r="O11" s="9">
        <f>0.5*'[1]ΣΥΣΤΑΣΗ ΤΡΟΦΙΜΩΝ'!N68</f>
        <v>7.9</v>
      </c>
      <c r="P11" s="9" t="s">
        <v>24</v>
      </c>
      <c r="Q11" s="9" t="s">
        <v>24</v>
      </c>
      <c r="R11" s="9" t="s">
        <v>24</v>
      </c>
      <c r="S11" s="9" t="s">
        <v>24</v>
      </c>
      <c r="T11" s="9" t="s">
        <v>24</v>
      </c>
      <c r="U11" s="9" t="s">
        <v>24</v>
      </c>
      <c r="V11" s="10" t="s">
        <v>24</v>
      </c>
    </row>
    <row r="12" spans="1:22" ht="28.5">
      <c r="A12" s="8" t="s">
        <v>33</v>
      </c>
      <c r="B12" s="9">
        <v>85</v>
      </c>
      <c r="C12" s="9">
        <f>0.85*'[1]ΣΥΣΤΑΣΗ ΤΡΟΦΙΜΩΝ'!B108</f>
        <v>30.599999999999998</v>
      </c>
      <c r="D12" s="9">
        <f>0.85*'[1]ΣΥΣΤΑΣΗ ΤΡΟΦΙΜΩΝ'!C108</f>
        <v>75.64999999999999</v>
      </c>
      <c r="E12" s="9">
        <f>0.85*'[1]ΣΥΣΤΑΣΗ ΤΡΟΦΙΜΩΝ'!D108</f>
        <v>6.715</v>
      </c>
      <c r="F12" s="9">
        <f>0.85*'[1]ΣΥΣΤΑΣΗ ΤΡΟΦΙΜΩΝ'!E108</f>
        <v>1.02</v>
      </c>
      <c r="G12" s="9">
        <f>0.85*'[1]ΣΥΣΤΑΣΗ ΤΡΟΦΙΜΩΝ'!F108</f>
        <v>0.17</v>
      </c>
      <c r="H12" s="9">
        <f>0.85*'[1]ΣΥΣΤΑΣΗ ΤΡΟΦΙΜΩΝ'!G108</f>
        <v>1.275</v>
      </c>
      <c r="I12" s="9">
        <f>0.85*'[1]ΣΥΣΤΑΣΗ ΤΡΟΦΙΜΩΝ'!H108</f>
        <v>0</v>
      </c>
      <c r="J12" s="9" t="s">
        <v>26</v>
      </c>
      <c r="K12" s="9">
        <f>0.85*'[1]ΣΥΣΤΑΣΗ ΤΡΟΦΙΜΩΝ'!J108</f>
        <v>4.76</v>
      </c>
      <c r="L12" s="9">
        <f>0.85*'[1]ΣΥΣΤΑΣΗ ΤΡΟΦΙΜΩΝ'!K108</f>
        <v>21.25</v>
      </c>
      <c r="M12" s="9">
        <f>0.85*'[1]ΣΥΣΤΑΣΗ ΤΡΟΦΙΜΩΝ'!L108</f>
        <v>25.5</v>
      </c>
      <c r="N12" s="9">
        <f>0.85*'[1]ΣΥΣΤΑΣΗ ΤΡΟΦΙΜΩΝ'!M108</f>
        <v>3.4</v>
      </c>
      <c r="O12" s="9">
        <f>0.85*'[1]ΣΥΣΤΑΣΗ ΤΡΟΦΙΜΩΝ'!N108</f>
        <v>21.25</v>
      </c>
      <c r="P12" s="9">
        <f>0.85*'[1]ΣΥΣΤΑΣΗ ΤΡΟΦΙΜΩΝ'!O108</f>
        <v>0.085</v>
      </c>
      <c r="Q12" s="9">
        <f>0.85*'[1]ΣΥΣΤΑΣΗ ΤΡΟΦΙΜΩΝ'!P108</f>
        <v>2.55</v>
      </c>
      <c r="R12" s="9">
        <f>0.85*'[1]ΣΥΣΤΑΣΗ ΤΡΟΦΙΜΩΝ'!Q108</f>
        <v>136</v>
      </c>
      <c r="S12" s="9">
        <f>0.85*'[1]ΣΥΣΤΑΣΗ ΤΡΟΦΙΜΩΝ'!R108</f>
        <v>0.255</v>
      </c>
      <c r="T12" s="9">
        <f>0.85*'[1]ΣΥΣΤΑΣΗ ΤΡΟΦΙΜΩΝ'!S108</f>
        <v>0.17</v>
      </c>
      <c r="U12" s="9">
        <f>0.85*'[1]ΣΥΣΤΑΣΗ ΤΡΟΦΙΜΩΝ'!T108</f>
        <v>0.0425</v>
      </c>
      <c r="V12" s="10">
        <f>0.85*'[1]ΣΥΣΤΑΣΗ ΤΡΟΦΙΜΩΝ'!U108</f>
        <v>0.85</v>
      </c>
    </row>
    <row r="13" spans="1:22" ht="14.25">
      <c r="A13" s="8" t="s">
        <v>34</v>
      </c>
      <c r="B13" s="9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3600</v>
      </c>
      <c r="P13" s="9"/>
      <c r="Q13" s="9">
        <v>2400</v>
      </c>
      <c r="R13" s="9"/>
      <c r="S13" s="9"/>
      <c r="T13" s="9"/>
      <c r="U13" s="9"/>
      <c r="V13" s="10"/>
    </row>
    <row r="14" spans="1:22" ht="14.25">
      <c r="A14" s="8" t="s">
        <v>35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</row>
    <row r="15" spans="1:22" ht="14.25">
      <c r="A15" s="8" t="s">
        <v>36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1:22" ht="28.5">
      <c r="A16" s="8" t="s">
        <v>37</v>
      </c>
      <c r="B16" s="9">
        <v>100</v>
      </c>
      <c r="C16" s="9">
        <f>'[1]ΣΥΣΤΑΣΗ ΤΡΟΦΙΜΩΝ'!B81</f>
        <v>272</v>
      </c>
      <c r="D16" s="9">
        <f>'[1]ΣΥΣΤΑΣΗ ΤΡΟΦΙΜΩΝ'!C81</f>
        <v>13.2</v>
      </c>
      <c r="E16" s="9">
        <f>'[1]ΣΥΣΤΑΣΗ ΤΡΟΦΙΜΩΝ'!D81</f>
        <v>69.3</v>
      </c>
      <c r="F16" s="9">
        <f>'[1]ΣΥΣΤΑΣΗ ΤΡΟΦΙΜΩΝ'!E81</f>
        <v>2.1</v>
      </c>
      <c r="G16" s="9">
        <f>'[1]ΣΥΣΤΑΣΗ ΤΡΟΦΙΜΩΝ'!F81</f>
        <v>0.4</v>
      </c>
      <c r="H16" s="9">
        <f>'[1]ΣΥΣΤΑΣΗ ΤΡΟΦΙΜΩΝ'!G81</f>
        <v>6.1</v>
      </c>
      <c r="I16" s="9">
        <f>'[1]ΣΥΣΤΑΣΗ ΤΡΟΦΙΜΩΝ'!H81</f>
        <v>0</v>
      </c>
      <c r="J16" s="9">
        <f>'[1]ΣΥΣΤΑΣΗ ΤΡΟΦΙΜΩΝ'!I81</f>
        <v>0</v>
      </c>
      <c r="K16" s="9">
        <f>'[1]ΣΥΣΤΑΣΗ ΤΡΟΦΙΜΩΝ'!J81</f>
        <v>69.3</v>
      </c>
      <c r="L16" s="9">
        <f>'[1]ΣΥΣΤΑΣΗ ΤΡΟΦΙΜΩΝ'!K81</f>
        <v>46</v>
      </c>
      <c r="M16" s="9">
        <f>'[1]ΣΥΣΤΑΣΗ ΤΡΟΦΙΜΩΝ'!L81</f>
        <v>76</v>
      </c>
      <c r="N16" s="9">
        <f>'[1]ΣΥΣΤΑΣΗ ΤΡΟΦΙΜΩΝ'!M81</f>
        <v>35</v>
      </c>
      <c r="O16" s="9">
        <f>'[1]ΣΥΣΤΑΣΗ ΤΡΟΦΙΜΩΝ'!N81</f>
        <v>9</v>
      </c>
      <c r="P16" s="9">
        <f>'[1]ΣΥΣΤΑΣΗ ΤΡΟΦΙΜΩΝ'!O81</f>
        <v>0.3</v>
      </c>
      <c r="Q16" s="9">
        <f>'[1]ΣΥΣΤΑΣΗ ΤΡΟΦΙΜΩΝ'!P81</f>
        <v>60</v>
      </c>
      <c r="R16" s="9">
        <f>'[1]ΣΥΣΤΑΣΗ ΤΡΟΦΙΜΩΝ'!Q81</f>
        <v>1020</v>
      </c>
      <c r="S16" s="9">
        <f>'[1]ΣΥΣΤΑΣΗ ΤΡΟΦΙΜΩΝ'!R81</f>
        <v>3.8</v>
      </c>
      <c r="T16" s="9">
        <f>'[1]ΣΥΣΤΑΣΗ ΤΡΟΦΙΜΩΝ'!S81</f>
        <v>0.7</v>
      </c>
      <c r="U16" s="9">
        <f>'[1]ΣΥΣΤΑΣΗ ΤΡΟΦΙΜΩΝ'!T81</f>
        <v>0.39</v>
      </c>
      <c r="V16" s="10">
        <f>'[1]ΣΥΣΤΑΣΗ ΤΡΟΦΙΜΩΝ'!U81</f>
        <v>8</v>
      </c>
    </row>
    <row r="17" spans="1:22" ht="14.25">
      <c r="A17" s="11" t="s">
        <v>38</v>
      </c>
      <c r="B17" s="9">
        <f aca="true" t="shared" si="0" ref="B17:V17">SUM(B5:B16)</f>
        <v>2299.25</v>
      </c>
      <c r="C17" s="9">
        <f t="shared" si="0"/>
        <v>5670.700000000001</v>
      </c>
      <c r="D17" s="9">
        <f t="shared" si="0"/>
        <v>841.4150000000001</v>
      </c>
      <c r="E17" s="9">
        <f t="shared" si="0"/>
        <v>732.03</v>
      </c>
      <c r="F17" s="9">
        <f t="shared" si="0"/>
        <v>99.205</v>
      </c>
      <c r="G17" s="9">
        <f t="shared" si="0"/>
        <v>286.945</v>
      </c>
      <c r="H17" s="9">
        <f t="shared" si="0"/>
        <v>50.15</v>
      </c>
      <c r="I17" s="9">
        <f t="shared" si="0"/>
        <v>0</v>
      </c>
      <c r="J17" s="9">
        <f t="shared" si="0"/>
        <v>463.76500000000004</v>
      </c>
      <c r="K17" s="9">
        <f t="shared" si="0"/>
        <v>82.81</v>
      </c>
      <c r="L17" s="9">
        <f t="shared" si="0"/>
        <v>607.5</v>
      </c>
      <c r="M17" s="9">
        <f t="shared" si="0"/>
        <v>1813</v>
      </c>
      <c r="N17" s="9">
        <f t="shared" si="0"/>
        <v>682.6</v>
      </c>
      <c r="O17" s="9">
        <f t="shared" si="0"/>
        <v>3639.6</v>
      </c>
      <c r="P17" s="9">
        <f t="shared" si="0"/>
        <v>0.385</v>
      </c>
      <c r="Q17" s="9">
        <f t="shared" si="0"/>
        <v>3071.3</v>
      </c>
      <c r="R17" s="9">
        <f t="shared" si="0"/>
        <v>1970.95</v>
      </c>
      <c r="S17" s="9">
        <f t="shared" si="0"/>
        <v>25.43</v>
      </c>
      <c r="T17" s="9">
        <f t="shared" si="0"/>
        <v>6.635</v>
      </c>
      <c r="U17" s="9">
        <f t="shared" si="0"/>
        <v>1.5575</v>
      </c>
      <c r="V17" s="10">
        <f t="shared" si="0"/>
        <v>271.35</v>
      </c>
    </row>
    <row r="18" spans="1:22" ht="28.5">
      <c r="A18" s="11" t="s">
        <v>39</v>
      </c>
      <c r="B18" s="9">
        <v>100</v>
      </c>
      <c r="C18" s="9">
        <f aca="true" t="shared" si="1" ref="C18:V18">100*C17/$B$17</f>
        <v>246.63259758616945</v>
      </c>
      <c r="D18" s="9">
        <f t="shared" si="1"/>
        <v>36.595194085027735</v>
      </c>
      <c r="E18" s="9">
        <f t="shared" si="1"/>
        <v>31.837773186908773</v>
      </c>
      <c r="F18" s="9">
        <f t="shared" si="1"/>
        <v>4.3146678264651515</v>
      </c>
      <c r="G18" s="9">
        <f t="shared" si="1"/>
        <v>12.479939110579537</v>
      </c>
      <c r="H18" s="9">
        <f t="shared" si="1"/>
        <v>2.1811460258780038</v>
      </c>
      <c r="I18" s="9">
        <f t="shared" si="1"/>
        <v>0</v>
      </c>
      <c r="J18" s="9">
        <f t="shared" si="1"/>
        <v>20.170272915081007</v>
      </c>
      <c r="K18" s="9">
        <f t="shared" si="1"/>
        <v>3.6016092203979557</v>
      </c>
      <c r="L18" s="9">
        <f t="shared" si="1"/>
        <v>26.421659236707622</v>
      </c>
      <c r="M18" s="9">
        <f t="shared" si="1"/>
        <v>78.8517994998369</v>
      </c>
      <c r="N18" s="9">
        <f t="shared" si="1"/>
        <v>29.68794172012613</v>
      </c>
      <c r="O18" s="9">
        <f t="shared" si="1"/>
        <v>158.29509622703054</v>
      </c>
      <c r="P18" s="9">
        <f t="shared" si="1"/>
        <v>0.016744590627378493</v>
      </c>
      <c r="Q18" s="9">
        <f t="shared" si="1"/>
        <v>133.57834076329237</v>
      </c>
      <c r="R18" s="9">
        <f t="shared" si="1"/>
        <v>85.72143090138088</v>
      </c>
      <c r="S18" s="9">
        <f t="shared" si="1"/>
        <v>1.1060128302707404</v>
      </c>
      <c r="T18" s="9">
        <f t="shared" si="1"/>
        <v>0.288572360552354</v>
      </c>
      <c r="U18" s="9">
        <f t="shared" si="1"/>
        <v>0.06773948026530391</v>
      </c>
      <c r="V18" s="10">
        <f t="shared" si="1"/>
        <v>11.80167445906274</v>
      </c>
    </row>
    <row r="19" spans="1:22" ht="42.75">
      <c r="A19" s="12" t="s">
        <v>40</v>
      </c>
      <c r="B19" s="13">
        <v>130</v>
      </c>
      <c r="C19" s="13">
        <f>130*C18/100</f>
        <v>320.6223768620203</v>
      </c>
      <c r="D19" s="13">
        <f>130*D18/100-30</f>
        <v>17.573752310536058</v>
      </c>
      <c r="E19" s="13">
        <f aca="true" t="shared" si="2" ref="E19:V19">130*E18/100</f>
        <v>41.38910514298141</v>
      </c>
      <c r="F19" s="13">
        <f t="shared" si="2"/>
        <v>5.609068174404697</v>
      </c>
      <c r="G19" s="13">
        <f t="shared" si="2"/>
        <v>16.223920843753397</v>
      </c>
      <c r="H19" s="13">
        <f t="shared" si="2"/>
        <v>2.835489833641405</v>
      </c>
      <c r="I19" s="13">
        <f t="shared" si="2"/>
        <v>0</v>
      </c>
      <c r="J19" s="13">
        <f t="shared" si="2"/>
        <v>26.22135478960531</v>
      </c>
      <c r="K19" s="13">
        <f t="shared" si="2"/>
        <v>4.682091986517342</v>
      </c>
      <c r="L19" s="13">
        <f t="shared" si="2"/>
        <v>34.34815700771991</v>
      </c>
      <c r="M19" s="13">
        <f t="shared" si="2"/>
        <v>102.50733934978797</v>
      </c>
      <c r="N19" s="13">
        <f t="shared" si="2"/>
        <v>38.59432423616397</v>
      </c>
      <c r="O19" s="13">
        <f t="shared" si="2"/>
        <v>205.78362509513968</v>
      </c>
      <c r="P19" s="13">
        <f t="shared" si="2"/>
        <v>0.02176796781559204</v>
      </c>
      <c r="Q19" s="13">
        <f t="shared" si="2"/>
        <v>173.65184299228008</v>
      </c>
      <c r="R19" s="13">
        <f t="shared" si="2"/>
        <v>111.43786017179515</v>
      </c>
      <c r="S19" s="13">
        <f t="shared" si="2"/>
        <v>1.4378166793519624</v>
      </c>
      <c r="T19" s="13">
        <f t="shared" si="2"/>
        <v>0.3751440687180602</v>
      </c>
      <c r="U19" s="13">
        <f t="shared" si="2"/>
        <v>0.08806132434489507</v>
      </c>
      <c r="V19" s="14">
        <f t="shared" si="2"/>
        <v>15.342176796781562</v>
      </c>
    </row>
    <row r="23" spans="1:21" ht="60">
      <c r="A23" s="5"/>
      <c r="B23" s="6" t="s">
        <v>41</v>
      </c>
      <c r="C23" s="6" t="s">
        <v>42</v>
      </c>
      <c r="D23" s="6" t="s">
        <v>43</v>
      </c>
      <c r="E23" s="6" t="s">
        <v>44</v>
      </c>
      <c r="F23" s="6" t="s">
        <v>45</v>
      </c>
      <c r="G23" s="6" t="s">
        <v>46</v>
      </c>
      <c r="H23" s="6" t="s">
        <v>47</v>
      </c>
      <c r="I23" s="6" t="s">
        <v>48</v>
      </c>
      <c r="J23" s="6" t="s">
        <v>49</v>
      </c>
      <c r="K23" s="6" t="s">
        <v>50</v>
      </c>
      <c r="L23" s="6" t="s">
        <v>51</v>
      </c>
      <c r="M23" s="6" t="s">
        <v>52</v>
      </c>
      <c r="N23" s="6" t="s">
        <v>53</v>
      </c>
      <c r="O23" s="6" t="s">
        <v>54</v>
      </c>
      <c r="P23" s="6" t="s">
        <v>55</v>
      </c>
      <c r="Q23" s="6" t="s">
        <v>56</v>
      </c>
      <c r="R23" s="6" t="s">
        <v>57</v>
      </c>
      <c r="S23" s="6" t="s">
        <v>58</v>
      </c>
      <c r="T23" s="6" t="s">
        <v>59</v>
      </c>
      <c r="U23" s="7" t="s">
        <v>60</v>
      </c>
    </row>
    <row r="24" spans="1:21" ht="14.25">
      <c r="A24" s="8" t="s">
        <v>23</v>
      </c>
      <c r="B24" s="9" t="s">
        <v>27</v>
      </c>
      <c r="C24" s="9">
        <f>6.25*'[1]ΣΥΣΤΑΣΗ ΤΡΟΦΙΜΩΝ'!W6*0.8</f>
        <v>0.5</v>
      </c>
      <c r="D24" s="9">
        <f>6.25*'[1]ΣΥΣΤΑΣΗ ΤΡΟΦΙΜΩΝ'!X6*0.9</f>
        <v>0.16875</v>
      </c>
      <c r="E24" s="9">
        <f>6.25*'[1]ΣΥΣΤΑΣΗ ΤΡΟΦΙΜΩΝ'!Y6</f>
        <v>0</v>
      </c>
      <c r="F24" s="9">
        <f>6.25*'[1]ΣΥΣΤΑΣΗ ΤΡΟΦΙΜΩΝ'!Z6*0.9</f>
        <v>3.9375</v>
      </c>
      <c r="G24" s="9">
        <f>6.25*'[1]ΣΥΣΤΑΣΗ ΤΡΟΦΙΜΩΝ'!AA6*0.9</f>
        <v>0.84375</v>
      </c>
      <c r="H24" s="9">
        <f>6.25*'[1]ΣΥΣΤΑΣΗ ΤΡΟΦΙΜΩΝ'!AB6</f>
        <v>0</v>
      </c>
      <c r="I24" s="9">
        <f>6.25*'[1]ΣΥΣΤΑΣΗ ΤΡΟΦΙΜΩΝ'!AC6*0.7</f>
        <v>135.625</v>
      </c>
      <c r="J24" s="9">
        <f>6.25*'[1]ΣΥΣΤΑΣΗ ΤΡΟΦΙΜΩΝ'!AD6</f>
        <v>0</v>
      </c>
      <c r="K24" s="9">
        <f>6.25*'[1]ΣΥΣΤΑΣΗ ΤΡΟΦΙΜΩΝ'!AE6</f>
        <v>0</v>
      </c>
      <c r="L24" s="9">
        <f>6.25*'[1]ΣΥΣΤΑΣΗ ΤΡΟΦΙΜΩΝ'!AF6</f>
        <v>0</v>
      </c>
      <c r="M24" s="9">
        <f>6.25*'[1]ΣΥΣΤΑΣΗ ΤΡΟΦΙΜΩΝ'!AG6</f>
        <v>1.875</v>
      </c>
      <c r="N24" s="9">
        <f>'[1]ΣΥΣΤΑΣΗ ΤΡΟΦΙΜΩΝ'!AH6</f>
        <v>3.695014662756598</v>
      </c>
      <c r="O24" s="9">
        <f>'[1]ΣΥΣΤΑΣΗ ΤΡΟΦΙΜΩΝ'!AI6</f>
        <v>13.489736070381232</v>
      </c>
      <c r="P24" s="9">
        <f>'[1]ΣΥΣΤΑΣΗ ΤΡΟΦΙΜΩΝ'!AJ6</f>
        <v>88.32844574780059</v>
      </c>
      <c r="Q24" s="9">
        <f>'[1]ΣΥΣΤΑΣΗ ΤΡΟΦΙΜΩΝ'!AK6</f>
        <v>0.5278592375366569</v>
      </c>
      <c r="R24" s="9">
        <f>'[1]ΣΥΣΤΑΣΗ ΤΡΟΦΙΜΩΝ'!AL6</f>
        <v>1.6422287390029326</v>
      </c>
      <c r="S24" s="9">
        <f>6.25*'[1]ΣΥΣΤΑΣΗ ΤΡΟΦΙΜΩΝ'!AM6</f>
        <v>1.25</v>
      </c>
      <c r="T24" s="9">
        <f>6.25*'[1]ΣΥΣΤΑΣΗ ΤΡΟΦΙΜΩΝ'!AN6</f>
        <v>0.625</v>
      </c>
      <c r="U24" s="10">
        <f>6.25*'[1]ΣΥΣΤΑΣΗ ΤΡΟΦΙΜΩΝ'!AO6</f>
        <v>3.75</v>
      </c>
    </row>
    <row r="25" spans="1:21" ht="14.25">
      <c r="A25" s="8" t="s">
        <v>25</v>
      </c>
      <c r="B25" s="9" t="s">
        <v>27</v>
      </c>
      <c r="C25" s="9" t="s">
        <v>26</v>
      </c>
      <c r="D25" s="9" t="s">
        <v>26</v>
      </c>
      <c r="E25" s="9" t="s">
        <v>26</v>
      </c>
      <c r="F25" s="9" t="s">
        <v>61</v>
      </c>
      <c r="G25" s="9" t="s">
        <v>26</v>
      </c>
      <c r="H25" s="9">
        <f>1.65*'[1]ΣΥΣΤΑΣΗ ΤΡΟΦΙΜΩΝ'!AB22</f>
        <v>0</v>
      </c>
      <c r="I25" s="9" t="s">
        <v>26</v>
      </c>
      <c r="J25" s="9">
        <f>1.65*'[1]ΣΥΣΤΑΣΗ ΤΡΟΦΙΜΩΝ'!AD22</f>
        <v>0</v>
      </c>
      <c r="K25" s="9">
        <f>1.65*'[1]ΣΥΣΤΑΣΗ ΤΡΟΦΙΜΩΝ'!AE22</f>
        <v>0</v>
      </c>
      <c r="L25" s="9">
        <f>1.65*'[1]ΣΥΣΤΑΣΗ ΤΡΟΦΙΜΩΝ'!AF22</f>
        <v>0</v>
      </c>
      <c r="M25" s="9">
        <f>1.65*'[1]ΣΥΣΤΑΣΗ ΤΡΟΦΙΜΩΝ'!AG22</f>
        <v>8.415</v>
      </c>
      <c r="N25" s="9">
        <f>'[1]ΣΥΣΤΑΣΗ ΤΡΟΦΙΜΩΝ'!AH22</f>
        <v>100.0111234705228</v>
      </c>
      <c r="O25" s="9">
        <v>0</v>
      </c>
      <c r="P25" s="9">
        <v>0</v>
      </c>
      <c r="Q25" s="9">
        <f>'[1]ΣΥΣΤΑΣΗ ΤΡΟΦΙΜΩΝ'!AK22</f>
        <v>14.015572858731923</v>
      </c>
      <c r="R25" s="9">
        <f>'[1]ΣΥΣΤΑΣΗ ΤΡΟΦΙΜΩΝ'!AL22</f>
        <v>0</v>
      </c>
      <c r="S25" s="9">
        <f>1.65*'[1]ΣΥΣΤΑΣΗ ΤΡΟΦΙΜΩΝ'!AM22</f>
        <v>23.099999999999998</v>
      </c>
      <c r="T25" s="9">
        <f>1.65*'[1]ΣΥΣΤΑΣΗ ΤΡΟΦΙΜΩΝ'!AN22</f>
        <v>115.005</v>
      </c>
      <c r="U25" s="10">
        <f>1.65*'[1]ΣΥΣΤΑΣΗ ΤΡΟΦΙΜΩΝ'!AO22</f>
        <v>18.479999999999997</v>
      </c>
    </row>
    <row r="26" spans="1:21" ht="14.25">
      <c r="A26" s="8" t="s">
        <v>28</v>
      </c>
      <c r="B26" s="9" t="str">
        <f>'[2]ΣΥΣΤΑΣΗ ΤΡΟΦΙΜΩΝ'!V111</f>
        <v>tr</v>
      </c>
      <c r="C26" s="9" t="str">
        <f>'[2]ΣΥΣΤΑΣΗ ΤΡΟΦΙΜΩΝ'!W111</f>
        <v>tr</v>
      </c>
      <c r="D26" s="9" t="str">
        <f>'[2]ΣΥΣΤΑΣΗ ΤΡΟΦΙΜΩΝ'!X111</f>
        <v>tr</v>
      </c>
      <c r="E26" s="9">
        <f>'[2]ΣΥΣΤΑΣΗ ΤΡΟΦΙΜΩΝ'!Y111</f>
        <v>0</v>
      </c>
      <c r="F26" s="9" t="str">
        <f>'[2]ΣΥΣΤΑΣΗ ΤΡΟΦΙΜΩΝ'!Z111</f>
        <v>tr</v>
      </c>
      <c r="G26" s="9" t="str">
        <f>'[2]ΣΥΣΤΑΣΗ ΤΡΟΦΙΜΩΝ'!AA111</f>
        <v>tr</v>
      </c>
      <c r="H26" s="9">
        <f>'[2]ΣΥΣΤΑΣΗ ΤΡΟΦΙΜΩΝ'!AB111</f>
        <v>0</v>
      </c>
      <c r="I26" s="9" t="str">
        <f>'[2]ΣΥΣΤΑΣΗ ΤΡΟΦΙΜΩΝ'!AC111</f>
        <v>tr</v>
      </c>
      <c r="J26" s="9">
        <f>'[2]ΣΥΣΤΑΣΗ ΤΡΟΦΙΜΩΝ'!AD111</f>
        <v>0</v>
      </c>
      <c r="K26" s="9">
        <f>'[2]ΣΥΣΤΑΣΗ ΤΡΟΦΙΜΩΝ'!AE111</f>
        <v>0</v>
      </c>
      <c r="L26" s="9">
        <f>'[2]ΣΥΣΤΑΣΗ ΤΡΟΦΙΜΩΝ'!AF111</f>
        <v>0</v>
      </c>
      <c r="M26" s="9" t="str">
        <f>'[2]ΣΥΣΤΑΣΗ ΤΡΟΦΙΜΩΝ'!AG111</f>
        <v>tr</v>
      </c>
      <c r="N26" s="9">
        <f>'[2]ΣΥΣΤΑΣΗ ΤΡΟΦΙΜΩΝ'!AH111</f>
        <v>0</v>
      </c>
      <c r="O26" s="9">
        <f>'[2]ΣΥΣΤΑΣΗ ΤΡΟΦΙΜΩΝ'!AI111</f>
        <v>12.093023255813954</v>
      </c>
      <c r="P26" s="9">
        <f>'[2]ΣΥΣΤΑΣΗ ΤΡΟΦΙΜΩΝ'!AJ111</f>
        <v>87.90697674418604</v>
      </c>
      <c r="Q26" s="9">
        <f>'[2]ΣΥΣΤΑΣΗ ΤΡΟΦΙΜΩΝ'!AK111</f>
        <v>0</v>
      </c>
      <c r="R26" s="9">
        <f>'[2]ΣΥΣΤΑΣΗ ΤΡΟΦΙΜΩΝ'!AL111</f>
        <v>0</v>
      </c>
      <c r="S26" s="9">
        <f>'[2]ΣΥΣΤΑΣΗ ΤΡΟΦΙΜΩΝ'!AM111</f>
        <v>0</v>
      </c>
      <c r="T26" s="9">
        <f>'[2]ΣΥΣΤΑΣΗ ΤΡΟΦΙΜΩΝ'!AN111</f>
        <v>0</v>
      </c>
      <c r="U26" s="10">
        <f>'[2]ΣΥΣΤΑΣΗ ΤΡΟΦΙΜΩΝ'!AO111</f>
        <v>0</v>
      </c>
    </row>
    <row r="27" spans="1:21" ht="14.25">
      <c r="A27" s="8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28.5">
      <c r="A28" s="8" t="s">
        <v>30</v>
      </c>
      <c r="B28" s="9" t="s">
        <v>24</v>
      </c>
      <c r="C28" s="9">
        <f>15*'[1]ΣΥΣΤΑΣΗ ΤΡΟΦΙΜΩΝ'!W38*0.9</f>
        <v>0.9450000000000001</v>
      </c>
      <c r="D28" s="9">
        <f>15*'[1]ΣΥΣΤΑΣΗ ΤΡΟΦΙΜΩΝ'!X38*0.95</f>
        <v>2.4225000000000003</v>
      </c>
      <c r="E28" s="9">
        <f>15*'[1]ΣΥΣΤΑΣΗ ΤΡΟΦΙΜΩΝ'!Y38*0.95</f>
        <v>31022.25</v>
      </c>
      <c r="F28" s="9">
        <f>15*'[1]ΣΥΣΤΑΣΗ ΤΡΟΦΙΜΩΝ'!Z38*0.95</f>
        <v>7.125</v>
      </c>
      <c r="G28" s="9" t="s">
        <v>24</v>
      </c>
      <c r="H28" s="9" t="s">
        <v>24</v>
      </c>
      <c r="I28" s="9" t="s">
        <v>24</v>
      </c>
      <c r="J28" s="9">
        <f>15*'[1]ΣΥΣΤΑΣΗ ΤΡΟΦΙΜΩΝ'!AD38*0.85</f>
        <v>76.5</v>
      </c>
      <c r="K28" s="9" t="s">
        <v>24</v>
      </c>
      <c r="L28" s="9" t="s">
        <v>24</v>
      </c>
      <c r="M28" s="9" t="s">
        <v>24</v>
      </c>
      <c r="N28" s="9">
        <f>'[1]ΣΥΣΤΑΣΗ ΤΡΟΦΙΜΩΝ'!AH38</f>
        <v>2.3076923076923075</v>
      </c>
      <c r="O28" s="9">
        <f>'[1]ΣΥΣΤΑΣΗ ΤΡΟΦΙΜΩΝ'!AI38</f>
        <v>12.307692307692308</v>
      </c>
      <c r="P28" s="9">
        <f>'[1]ΣΥΣΤΑΣΗ ΤΡΟΦΙΜΩΝ'!AJ38</f>
        <v>100.51282051282053</v>
      </c>
      <c r="Q28" s="9">
        <f>'[1]ΣΥΣΤΑΣΗ ΤΡΟΦΙΜΩΝ'!AK38</f>
        <v>0</v>
      </c>
      <c r="R28" s="9">
        <f>'[1]ΣΥΣΤΑΣΗ ΤΡΟΦΙΜΩΝ'!AL38</f>
        <v>0</v>
      </c>
      <c r="S28" s="9" t="s">
        <v>26</v>
      </c>
      <c r="T28" s="9" t="s">
        <v>26</v>
      </c>
      <c r="U28" s="10" t="s">
        <v>26</v>
      </c>
    </row>
    <row r="29" spans="1:21" ht="14.25">
      <c r="A29" s="8" t="s">
        <v>31</v>
      </c>
      <c r="B29" s="9" t="s">
        <v>27</v>
      </c>
      <c r="C29" s="9" t="s">
        <v>26</v>
      </c>
      <c r="D29" s="9" t="s">
        <v>26</v>
      </c>
      <c r="E29" s="9" t="s">
        <v>26</v>
      </c>
      <c r="F29" s="9" t="s">
        <v>26</v>
      </c>
      <c r="G29" s="9" t="s">
        <v>26</v>
      </c>
      <c r="H29" s="9">
        <f>1.1*'[1]ΣΥΣΤΑΣΗ ΤΡΟΦΙΜΩΝ'!AB22</f>
        <v>0</v>
      </c>
      <c r="I29" s="9" t="s">
        <v>26</v>
      </c>
      <c r="J29" s="9">
        <f>1.1*'[1]ΣΥΣΤΑΣΗ ΤΡΟΦΙΜΩΝ'!AD22</f>
        <v>0</v>
      </c>
      <c r="K29" s="9">
        <f>1.1*'[1]ΣΥΣΤΑΣΗ ΤΡΟΦΙΜΩΝ'!AE22</f>
        <v>0</v>
      </c>
      <c r="L29" s="9">
        <f>1.1*'[1]ΣΥΣΤΑΣΗ ΤΡΟΦΙΜΩΝ'!AF22</f>
        <v>0</v>
      </c>
      <c r="M29" s="9">
        <f>1.1*'[1]ΣΥΣΤΑΣΗ ΤΡΟΦΙΜΩΝ'!AG22</f>
        <v>5.61</v>
      </c>
      <c r="N29" s="9">
        <f>'[1]ΣΥΣΤΑΣΗ ΤΡΟΦΙΜΩΝ'!AH22</f>
        <v>100.0111234705228</v>
      </c>
      <c r="O29" s="9">
        <v>0</v>
      </c>
      <c r="P29" s="9">
        <v>0</v>
      </c>
      <c r="Q29" s="9">
        <f>'[1]ΣΥΣΤΑΣΗ ΤΡΟΦΙΜΩΝ'!AK22</f>
        <v>14.015572858731923</v>
      </c>
      <c r="R29" s="9">
        <f>'[1]ΣΥΣΤΑΣΗ ΤΡΟΦΙΜΩΝ'!AL22</f>
        <v>0</v>
      </c>
      <c r="S29" s="9">
        <f>1.1*'[1]ΣΥΣΤΑΣΗ ΤΡΟΦΙΜΩΝ'!AM22</f>
        <v>15.400000000000002</v>
      </c>
      <c r="T29" s="9">
        <f>1.1*'[1]ΣΥΣΤΑΣΗ ΤΡΟΦΙΜΩΝ'!AN22</f>
        <v>76.67000000000002</v>
      </c>
      <c r="U29" s="10">
        <f>1.1*'[1]ΣΥΣΤΑΣΗ ΤΡΟΦΙΜΩΝ'!AO22</f>
        <v>12.32</v>
      </c>
    </row>
    <row r="30" spans="1:21" ht="14.25">
      <c r="A30" s="8" t="s">
        <v>32</v>
      </c>
      <c r="B30" s="9" t="s">
        <v>24</v>
      </c>
      <c r="C30" s="9" t="s">
        <v>24</v>
      </c>
      <c r="D30" s="9" t="s">
        <v>24</v>
      </c>
      <c r="E30" s="9" t="s">
        <v>24</v>
      </c>
      <c r="F30" s="9" t="s">
        <v>24</v>
      </c>
      <c r="G30" s="9" t="s">
        <v>24</v>
      </c>
      <c r="H30" s="9" t="s">
        <v>24</v>
      </c>
      <c r="I30" s="9" t="s">
        <v>24</v>
      </c>
      <c r="J30" s="9" t="s">
        <v>24</v>
      </c>
      <c r="K30" s="9" t="s">
        <v>24</v>
      </c>
      <c r="L30" s="9" t="s">
        <v>24</v>
      </c>
      <c r="M30" s="9" t="s">
        <v>24</v>
      </c>
      <c r="N30" s="9">
        <f>'[1]ΣΥΣΤΑΣΗ ΤΡΟΦΙΜΩΝ'!AH68</f>
        <v>7.368421052631579</v>
      </c>
      <c r="O30" s="9">
        <f>'[1]ΣΥΣΤΑΣΗ ΤΡΟΦΙΜΩΝ'!AI68</f>
        <v>13.91812865497076</v>
      </c>
      <c r="P30" s="9">
        <f>'[1]ΣΥΣΤΑΣΗ ΤΡΟΦΙΜΩΝ'!AJ68</f>
        <v>85.38011695906432</v>
      </c>
      <c r="Q30" s="9">
        <f>'[1]ΣΥΣΤΑΣΗ ΤΡΟΦΙΜΩΝ'!AK68</f>
        <v>0</v>
      </c>
      <c r="R30" s="9">
        <f>'[1]ΣΥΣΤΑΣΗ ΤΡΟΦΙΜΩΝ'!AL68</f>
        <v>0</v>
      </c>
      <c r="S30" s="9" t="s">
        <v>26</v>
      </c>
      <c r="T30" s="9" t="s">
        <v>26</v>
      </c>
      <c r="U30" s="10" t="s">
        <v>26</v>
      </c>
    </row>
    <row r="31" spans="1:21" ht="28.5">
      <c r="A31" s="8" t="s">
        <v>33</v>
      </c>
      <c r="B31" s="9">
        <f>0.85*'[1]ΣΥΣΤΑΣΗ ΤΡΟΦΙΜΩΝ'!V108</f>
        <v>2.55</v>
      </c>
      <c r="C31" s="9">
        <f>0.85*'[1]ΣΥΣΤΑΣΗ ΤΡΟΦΙΜΩΝ'!W108*0.9</f>
        <v>0.09945</v>
      </c>
      <c r="D31" s="9" t="s">
        <v>26</v>
      </c>
      <c r="E31" s="9">
        <f>0.85*'[1]ΣΥΣΤΑΣΗ ΤΡΟΦΙΜΩΝ'!Y108*0.95</f>
        <v>8.075</v>
      </c>
      <c r="F31" s="9">
        <f>0.85*'[1]ΣΥΣΤΑΣΗ ΤΡΟΦΙΜΩΝ'!Z108*0.95</f>
        <v>0.5652499999999999</v>
      </c>
      <c r="G31" s="9">
        <f>0.85*'[1]ΣΥΣΤΑΣΗ ΤΡΟΦΙΜΩΝ'!AA108*0.95</f>
        <v>0.1615</v>
      </c>
      <c r="H31" s="9">
        <f>0.85*'[1]ΣΥΣΤΑΣΗ ΤΡΟΦΙΜΩΝ'!AB108</f>
        <v>0</v>
      </c>
      <c r="I31" s="9">
        <f>0.85*'[1]ΣΥΣΤΑΣΗ ΤΡΟΦΙΜΩΝ'!AC108*0.8</f>
        <v>11.56</v>
      </c>
      <c r="J31" s="9">
        <f>0.85*'[1]ΣΥΣΤΑΣΗ ΤΡΟΦΙΜΩΝ'!AD108*0.75</f>
        <v>3.1875</v>
      </c>
      <c r="K31" s="9">
        <f>0.85*'[1]ΣΥΣΤΑΣΗ ΤΡΟΦΙΜΩΝ'!AE108</f>
        <v>0</v>
      </c>
      <c r="L31" s="9">
        <f>0.85*'[1]ΣΥΣΤΑΣΗ ΤΡΟΦΙΜΩΝ'!AF108</f>
        <v>0</v>
      </c>
      <c r="M31" s="9">
        <f>0.85*'[1]ΣΥΣΤΑΣΗ ΤΡΟΦΙΜΩΝ'!AG108</f>
        <v>0.2635</v>
      </c>
      <c r="N31" s="9">
        <f>'[1]ΣΥΣΤΑΣΗ ΤΡΟΦΙΜΩΝ'!AH108</f>
        <v>5</v>
      </c>
      <c r="O31" s="9">
        <f>'[1]ΣΥΣΤΑΣΗ ΤΡΟΦΙΜΩΝ'!AI108</f>
        <v>13.333333333333334</v>
      </c>
      <c r="P31" s="9">
        <f>'[1]ΣΥΣΤΑΣΗ ΤΡΟΦΙΜΩΝ'!AJ108</f>
        <v>87.77777777777777</v>
      </c>
      <c r="Q31" s="9">
        <f>'[1]ΣΥΣΤΑΣΗ ΤΡΟΦΙΜΩΝ'!AK108</f>
        <v>0</v>
      </c>
      <c r="R31" s="9">
        <f>'[1]ΣΥΣΤΑΣΗ ΤΡΟΦΙΜΩΝ'!AL108</f>
        <v>62.22222222222222</v>
      </c>
      <c r="S31" s="9" t="s">
        <v>26</v>
      </c>
      <c r="T31" s="9" t="s">
        <v>26</v>
      </c>
      <c r="U31" s="10">
        <f>0.85*'[1]ΣΥΣΤΑΣΗ ΤΡΟΦΙΜΩΝ'!AO108</f>
        <v>0.085</v>
      </c>
    </row>
    <row r="32" spans="1:21" ht="14.25">
      <c r="A32" s="8" t="s">
        <v>34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  <row r="33" spans="1:21" ht="14.25">
      <c r="A33" s="8" t="s">
        <v>35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4.25">
      <c r="A34" s="8" t="s">
        <v>36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</row>
    <row r="35" spans="1:21" ht="28.5">
      <c r="A35" s="8" t="s">
        <v>37</v>
      </c>
      <c r="B35" s="9" t="str">
        <f>'[1]ΣΥΣΤΑΣΗ ΤΡΟΦΙΜΩΝ'!V81</f>
        <v>n</v>
      </c>
      <c r="C35" s="9">
        <f>'[1]ΣΥΣΤΑΣΗ ΤΡΟΦΙΜΩΝ'!W81</f>
        <v>0.12</v>
      </c>
      <c r="D35" s="9">
        <f>'[1]ΣΥΣΤΑΣΗ ΤΡΟΦΙΜΩΝ'!X81</f>
        <v>0.05</v>
      </c>
      <c r="E35" s="9">
        <f>'[1]ΣΥΣΤΑΣΗ ΤΡΟΦΙΜΩΝ'!Y81</f>
        <v>12</v>
      </c>
      <c r="F35" s="9">
        <f>'[1]ΣΥΣΤΑΣΗ ΤΡΟΦΙΜΩΝ'!Z81</f>
        <v>0.6</v>
      </c>
      <c r="G35" s="9">
        <f>'[1]ΣΥΣΤΑΣΗ ΤΡΟΦΙΜΩΝ'!AA81</f>
        <v>0.25</v>
      </c>
      <c r="H35" s="9">
        <f>'[1]ΣΥΣΤΑΣΗ ΤΡΟΦΙΜΩΝ'!AB81</f>
        <v>0</v>
      </c>
      <c r="I35" s="9">
        <f>'[1]ΣΥΣΤΑΣΗ ΤΡΟΦΙΜΩΝ'!AC81</f>
        <v>10</v>
      </c>
      <c r="J35" s="9">
        <f>'[1]ΣΥΣΤΑΣΗ ΤΡΟΦΙΜΩΝ'!AD81</f>
        <v>1</v>
      </c>
      <c r="K35" s="9">
        <f>'[1]ΣΥΣΤΑΣΗ ΤΡΟΦΙΜΩΝ'!AE81</f>
        <v>0</v>
      </c>
      <c r="L35" s="9">
        <f>'[1]ΣΥΣΤΑΣΗ ΤΡΟΦΙΜΩΝ'!AF81</f>
        <v>0</v>
      </c>
      <c r="M35" s="9" t="str">
        <f>'[1]ΣΥΣΤΑΣΗ ΤΡΟΦΙΜΩΝ'!AG81</f>
        <v>n</v>
      </c>
      <c r="N35" s="9">
        <f>'[1]ΣΥΣΤΑΣΗ ΤΡΟΦΙΜΩΝ'!AH81</f>
        <v>1.3235294117647058</v>
      </c>
      <c r="O35" s="9">
        <f>'[1]ΣΥΣΤΑΣΗ ΤΡΟΦΙΜΩΝ'!AI81</f>
        <v>3.088235294117647</v>
      </c>
      <c r="P35" s="9">
        <f>'[1]ΣΥΣΤΑΣΗ ΤΡΟΦΙΜΩΝ'!AJ81</f>
        <v>101.91176470588235</v>
      </c>
      <c r="Q35" s="9">
        <v>0</v>
      </c>
      <c r="R35" s="9">
        <f>'[1]ΣΥΣΤΑΣΗ ΤΡΟΦΙΜΩΝ'!AL81</f>
        <v>101.91176470588235</v>
      </c>
      <c r="S35" s="9" t="str">
        <f>'[1]ΣΥΣΤΑΣΗ ΤΡΟΦΙΜΩΝ'!AM81</f>
        <v>n</v>
      </c>
      <c r="T35" s="9" t="str">
        <f>'[1]ΣΥΣΤΑΣΗ ΤΡΟΦΙΜΩΝ'!AN81</f>
        <v>n</v>
      </c>
      <c r="U35" s="10" t="str">
        <f>'[1]ΣΥΣΤΑΣΗ ΤΡΟΦΙΜΩΝ'!AO81</f>
        <v>n</v>
      </c>
    </row>
    <row r="36" spans="1:21" ht="14.25">
      <c r="A36" s="11" t="s">
        <v>38</v>
      </c>
      <c r="B36" s="9">
        <f>SUM(B24:B35)</f>
        <v>2.55</v>
      </c>
      <c r="C36" s="9">
        <f>SUM(C24:C35)</f>
        <v>1.66445</v>
      </c>
      <c r="D36" s="9">
        <f>SUM(D24:D35)</f>
        <v>2.6412500000000003</v>
      </c>
      <c r="E36" s="9">
        <f>SUM(E24:E35)</f>
        <v>31042.325</v>
      </c>
      <c r="F36" s="9">
        <f>SUM(F24:F35)</f>
        <v>12.22775</v>
      </c>
      <c r="G36" s="9">
        <f aca="true" t="shared" si="3" ref="G36:M36">SUM(G24:G35)</f>
        <v>1.25525</v>
      </c>
      <c r="H36" s="9">
        <f t="shared" si="3"/>
        <v>0</v>
      </c>
      <c r="I36" s="9">
        <f t="shared" si="3"/>
        <v>157.185</v>
      </c>
      <c r="J36" s="9">
        <f t="shared" si="3"/>
        <v>80.6875</v>
      </c>
      <c r="K36" s="9">
        <f t="shared" si="3"/>
        <v>0</v>
      </c>
      <c r="L36" s="9">
        <f t="shared" si="3"/>
        <v>0</v>
      </c>
      <c r="M36" s="9">
        <f t="shared" si="3"/>
        <v>16.1635</v>
      </c>
      <c r="N36" s="15">
        <f>9*G17*100/C17</f>
        <v>45.54120302608143</v>
      </c>
      <c r="O36" s="15">
        <f>4*F17*100/C17</f>
        <v>6.997725148570722</v>
      </c>
      <c r="P36" s="15">
        <f>4*E17*100/C17</f>
        <v>51.63595323328689</v>
      </c>
      <c r="Q36" s="9">
        <f>9*S36*100/C17</f>
        <v>6.3087449521223125</v>
      </c>
      <c r="R36" s="9">
        <f>4*K17*100/C17</f>
        <v>5.841254166152326</v>
      </c>
      <c r="S36" s="9">
        <f>SUM(S24:S35)</f>
        <v>39.75</v>
      </c>
      <c r="T36" s="9">
        <f>SUM(T24:T35)</f>
        <v>192.3</v>
      </c>
      <c r="U36" s="10">
        <f>SUM(U24:U35)</f>
        <v>34.635</v>
      </c>
    </row>
    <row r="37" spans="1:21" ht="28.5">
      <c r="A37" s="11" t="s">
        <v>39</v>
      </c>
      <c r="B37" s="9">
        <f aca="true" t="shared" si="4" ref="B37:M37">100*B36/$B$17</f>
        <v>0.11090573012939</v>
      </c>
      <c r="C37" s="9">
        <f t="shared" si="4"/>
        <v>0.07239099706426008</v>
      </c>
      <c r="D37" s="9">
        <f t="shared" si="4"/>
        <v>0.11487441557029468</v>
      </c>
      <c r="E37" s="9">
        <f t="shared" si="4"/>
        <v>1350.1065564858106</v>
      </c>
      <c r="F37" s="9">
        <f t="shared" si="4"/>
        <v>0.5318147221920192</v>
      </c>
      <c r="G37" s="9">
        <f t="shared" si="4"/>
        <v>0.054593889311732084</v>
      </c>
      <c r="H37" s="9">
        <f t="shared" si="4"/>
        <v>0</v>
      </c>
      <c r="I37" s="9">
        <f t="shared" si="4"/>
        <v>6.836359682505165</v>
      </c>
      <c r="J37" s="9">
        <f t="shared" si="4"/>
        <v>3.5092965097314344</v>
      </c>
      <c r="K37" s="9">
        <f t="shared" si="4"/>
        <v>0</v>
      </c>
      <c r="L37" s="9">
        <f t="shared" si="4"/>
        <v>0</v>
      </c>
      <c r="M37" s="9">
        <f t="shared" si="4"/>
        <v>0.7029901054691747</v>
      </c>
      <c r="N37" s="9"/>
      <c r="O37" s="9"/>
      <c r="P37" s="9"/>
      <c r="Q37" s="9"/>
      <c r="R37" s="9"/>
      <c r="S37" s="9">
        <f>100*S36/$B$17</f>
        <v>1.7288246167228445</v>
      </c>
      <c r="T37" s="9">
        <f>100*T36/$B$17</f>
        <v>8.363596825051648</v>
      </c>
      <c r="U37" s="10">
        <f>100*U36/$B$17</f>
        <v>1.5063607698162444</v>
      </c>
    </row>
    <row r="38" spans="1:21" ht="42.75">
      <c r="A38" s="12" t="s">
        <v>40</v>
      </c>
      <c r="B38" s="13">
        <f>130*B37/100</f>
        <v>0.144177449168207</v>
      </c>
      <c r="C38" s="13">
        <f>130*C37/100</f>
        <v>0.09410829618353811</v>
      </c>
      <c r="D38" s="13">
        <f>130*D37/100</f>
        <v>0.1493367402413831</v>
      </c>
      <c r="E38" s="13">
        <f>130*E37/100</f>
        <v>1755.138523431554</v>
      </c>
      <c r="F38" s="13">
        <f>130*F37/100</f>
        <v>0.691359138849625</v>
      </c>
      <c r="G38" s="13">
        <f aca="true" t="shared" si="5" ref="G38:M38">130*G37/100</f>
        <v>0.0709720561052517</v>
      </c>
      <c r="H38" s="13">
        <f t="shared" si="5"/>
        <v>0</v>
      </c>
      <c r="I38" s="13">
        <f t="shared" si="5"/>
        <v>8.887267587256716</v>
      </c>
      <c r="J38" s="13">
        <f t="shared" si="5"/>
        <v>4.562085462650865</v>
      </c>
      <c r="K38" s="13">
        <f t="shared" si="5"/>
        <v>0</v>
      </c>
      <c r="L38" s="13">
        <f t="shared" si="5"/>
        <v>0</v>
      </c>
      <c r="M38" s="13">
        <f t="shared" si="5"/>
        <v>0.9138871371099272</v>
      </c>
      <c r="N38" s="16"/>
      <c r="O38" s="16"/>
      <c r="P38" s="16"/>
      <c r="Q38" s="13"/>
      <c r="R38" s="13"/>
      <c r="S38" s="13">
        <f>130*S37/100</f>
        <v>2.247472001739698</v>
      </c>
      <c r="T38" s="13">
        <f>130*T37/100</f>
        <v>10.872675872567143</v>
      </c>
      <c r="U38" s="14">
        <f>130*U37/100</f>
        <v>1.9582690007611177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2011-08-06T06:06:30Z</dcterms:created>
  <dcterms:modified xsi:type="dcterms:W3CDTF">2011-08-06T06:06:50Z</dcterms:modified>
  <cp:category/>
  <cp:version/>
  <cp:contentType/>
  <cp:contentStatus/>
</cp:coreProperties>
</file>