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7995" activeTab="0"/>
  </bookViews>
  <sheets>
    <sheet name="Γεννόπιτες" sheetId="1" r:id="rId1"/>
    <sheet name="Ταχινόπιτα" sheetId="2" r:id="rId2"/>
    <sheet name="Καττιμέρι" sheetId="3" r:id="rId3"/>
    <sheet name="Δάχτυλα κυριών" sheetId="4" r:id="rId4"/>
    <sheet name="Σιάμιση" sheetId="5" r:id="rId5"/>
    <sheet name="Λουκουμάδες" sheetId="6" r:id="rId6"/>
    <sheet name="Λαγγόπιτες" sheetId="7" r:id="rId7"/>
    <sheet name="Γλυσταρκές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<sst xmlns="http://schemas.openxmlformats.org/spreadsheetml/2006/main" count="649" uniqueCount="131">
  <si>
    <t>ΣΥΝΟΛΟ ΣΕ 100g ΕΤΟΙΜΟΥ ΠΡΟΪΟΝΤΟΣ (-23%)</t>
  </si>
  <si>
    <t>ΣΥΝΟΛΟ ΣΕ 100g ΩΜΟΥ ΠΡΟΪΟΝΤΟΣ</t>
  </si>
  <si>
    <t>ΣΥΝΟΛΟ</t>
  </si>
  <si>
    <t>τερατσόμελο 1/2 φλιτζ</t>
  </si>
  <si>
    <t>1 κ.γ. κανέλα</t>
  </si>
  <si>
    <t>1 φλιτζ ζάχαρη</t>
  </si>
  <si>
    <t>1 φλιτζ ταχίνι</t>
  </si>
  <si>
    <t>νερό για ζύμωμα</t>
  </si>
  <si>
    <t>1 κ.γ. αλάτι</t>
  </si>
  <si>
    <t>1 κ.σ. ζάχαρη</t>
  </si>
  <si>
    <t>1 κ.γ. σόδα</t>
  </si>
  <si>
    <t>1 κ.γ. μαγιά</t>
  </si>
  <si>
    <t>1 κιλό αλεύρι</t>
  </si>
  <si>
    <t xml:space="preserve">%energy from added sugar </t>
  </si>
  <si>
    <t>%energy from saturated fat</t>
  </si>
  <si>
    <t>%energy from carbohydrate</t>
  </si>
  <si>
    <t>%energy from protein</t>
  </si>
  <si>
    <t>%energy from fat</t>
  </si>
  <si>
    <t>BETA CAROTENE EQUIVAL. (μg)</t>
  </si>
  <si>
    <t>νερό</t>
  </si>
  <si>
    <t>-</t>
  </si>
  <si>
    <t>1 1/2 φλιτζ σταφίδες</t>
  </si>
  <si>
    <t>1 κιλό σουσάμι</t>
  </si>
  <si>
    <t>2 φακελάκια μαγιά</t>
  </si>
  <si>
    <t>tr</t>
  </si>
  <si>
    <t>1/2 φλιτζ λάδι</t>
  </si>
  <si>
    <t>2 κ.γ. αλάτι</t>
  </si>
  <si>
    <t>1 κ.γ. γλυκάνισσο</t>
  </si>
  <si>
    <t>3 κ.γ. κανέλα</t>
  </si>
  <si>
    <t>3 κ.γ. μαστίχα</t>
  </si>
  <si>
    <t>2 φλιτζ ζάχαρη</t>
  </si>
  <si>
    <t>2 κιλά αλεύρι</t>
  </si>
  <si>
    <t>ΣΥΝΟΛΟ ΣΕ 100g ΕΤΟΙΜΟΥ ΠΡΟΪΟΝΤΟΣ</t>
  </si>
  <si>
    <t>λεμόνι</t>
  </si>
  <si>
    <t>γαρίφαλο</t>
  </si>
  <si>
    <t>κανέλα</t>
  </si>
  <si>
    <t>4 φλιτζ ζάχαρη</t>
  </si>
  <si>
    <t>6 φλιτζ νερό</t>
  </si>
  <si>
    <t>χλιαρό νερό</t>
  </si>
  <si>
    <t>1-2 μέτριες πατάτες βρασμένες</t>
  </si>
  <si>
    <t>1 φακελάκι μαγιά</t>
  </si>
  <si>
    <t>1/2 κ.γ. αλάτι</t>
  </si>
  <si>
    <t>3,5 φλιτζ αλέυρι χωριάτικο</t>
  </si>
  <si>
    <t>νερό χλιαρό</t>
  </si>
  <si>
    <t>600g ζάχαρη</t>
  </si>
  <si>
    <t>1 κ.γ. μαστίχα</t>
  </si>
  <si>
    <t>1 κ.σ. κανέλα, γλυκάνισο, γαρίφαλλο</t>
  </si>
  <si>
    <t>6,5 κιλά αλεύρι</t>
  </si>
  <si>
    <t xml:space="preserve">ΣΥΝΟΛΟ ΣΕ 100g ΕΤΟΙΜΟΥ ΠΡΟΪΟΝΤΟΣ </t>
  </si>
  <si>
    <t>ΣΥΝΟΛΟ ΣΕ ΟΛΟΚΛΗΡΟ ΤΟ ΤΡΟΦΙΜΟ</t>
  </si>
  <si>
    <t>ΣΥΝΟΛΙΚΟ ΠΡΟΪΟΝ 100g</t>
  </si>
  <si>
    <t>ΣΥΝΟΛΙΚΟ ΠΡΟΪΟΝ</t>
  </si>
  <si>
    <t>1 κ.σ. χυμό λεμονιού</t>
  </si>
  <si>
    <t>1 ξυλάκι κανέλα</t>
  </si>
  <si>
    <t>2-3 γαρίφαλλα</t>
  </si>
  <si>
    <t>2 φλιτζ νερό</t>
  </si>
  <si>
    <t>1 κ.σ. ανθόνερο</t>
  </si>
  <si>
    <t>1/2 κ.γ.κανέλα</t>
  </si>
  <si>
    <t>1-2 κ.σ. ζάχαρη</t>
  </si>
  <si>
    <t>1 φλιτζ αμύγδαλα ψιλοκοπανισμένα</t>
  </si>
  <si>
    <t>3 κ.σ. φυστικέλαιο</t>
  </si>
  <si>
    <t>2 φλιτζ αλεύρι</t>
  </si>
  <si>
    <t>3,5 φλιτζ φαρίνα</t>
  </si>
  <si>
    <t>λίγο αλάτι</t>
  </si>
  <si>
    <t>1/2 κιλό αλεύρι χωριάτικο</t>
  </si>
  <si>
    <t>ΣΥΝΟΛΟ ΜΕ ΤΟ ΧΑΡΟΥΠΟΜΕΛΟ</t>
  </si>
  <si>
    <t>χαρουπόμελο (1 φλιτζ περίπου)</t>
  </si>
  <si>
    <t>1 κ.σ. μαγιά</t>
  </si>
  <si>
    <t>1/2 κιλό χωριάτικο αλεύρι</t>
  </si>
  <si>
    <t>1/2 κιλό φαρίνα</t>
  </si>
  <si>
    <t>1/2 κ.γ. μαστίχα</t>
  </si>
  <si>
    <t>5 φλιτζ νερό</t>
  </si>
  <si>
    <t>1 φλιτζ σιμιγδάλι</t>
  </si>
  <si>
    <t>1/2 φλιτζ αραβοσιτέλαιο</t>
  </si>
  <si>
    <t>2 φλιτζ αλεύρι φαρίνα</t>
  </si>
  <si>
    <t>φυστικέλαιο</t>
  </si>
  <si>
    <t>ζάχαρη</t>
  </si>
  <si>
    <t>ελαιόλαδο</t>
  </si>
  <si>
    <t>μέλι</t>
  </si>
  <si>
    <t>1/5 φλιτζ. φυστικέλαιο</t>
  </si>
  <si>
    <t>1,5 ποτήρια νερό</t>
  </si>
  <si>
    <t>n</t>
  </si>
  <si>
    <t>Iodine (μg)</t>
  </si>
  <si>
    <t>Thiamin (mg)</t>
  </si>
  <si>
    <t>Riboflavin (mg)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</si>
  <si>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</si>
  <si>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</si>
  <si>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</si>
  <si>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</si>
  <si>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</si>
  <si>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</si>
  <si>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</si>
  <si>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</si>
  <si>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Total saturates (g)</t>
  </si>
  <si>
    <t>Total cis-monos (g)</t>
  </si>
  <si>
    <t>Total cis-pufas (g)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</si>
  <si>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</si>
  <si>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</si>
  <si>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</si>
  <si>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</si>
  <si>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</si>
  <si>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</si>
  <si>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</si>
  <si>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</si>
  <si>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</si>
  <si>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</si>
  <si>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</si>
  <si>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</si>
  <si>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</si>
  <si>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</si>
  <si>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</si>
  <si>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</si>
  <si>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</si>
  <si>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</si>
  <si>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</si>
  <si>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</si>
  <si>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</si>
  <si>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ΤΑΧΙΝΟΠΙΤΑ</t>
  </si>
  <si>
    <t>Τρόπος παρασκευής: ψήσιμο</t>
  </si>
  <si>
    <t>ΚΑΤΤΙΜΕΡΙ</t>
  </si>
  <si>
    <t>Τρόπος παρασκευής: τηγάνισμα</t>
  </si>
  <si>
    <t>ΔΑΧΤΥΛΑ ΚΥΡΙΩΝ</t>
  </si>
  <si>
    <t>Τρόπος παρασκευής: τηγάνισμα και βράσιμο</t>
  </si>
  <si>
    <t xml:space="preserve">9 κ.σ. φυστικέλαιο για τηγάνισμα </t>
  </si>
  <si>
    <t>ΣΙΑΜΙΣΗ</t>
  </si>
  <si>
    <t>ΛΑΓΓΟΠΙΤΕΣ</t>
  </si>
  <si>
    <t>Τρόπος παρασεκυής: ψήσιμο</t>
  </si>
  <si>
    <t>ΓΛΙΣΤΑΡΚΕΣ</t>
  </si>
  <si>
    <t>ΛΟΥΚΟΥΜΑΔΕΣ</t>
  </si>
  <si>
    <t>Τρόπος παρασεκυής: τηγάνισμα και βράσιμο</t>
  </si>
  <si>
    <t>ΓΕΝΝΟΠΙΤΕΣ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</si>
</sst>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  <font>
      <sz val="14"/>
      <color indexed="8"/>
      <name val="Calibri"/>
      <family val="2"/>
    </font>
    <font>
      <sz val="14"/>
      <color indexed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21" borderId="1" applyNumberFormat="0" applyAlignment="0" applyProtection="0"/>
  </cellStyleXfs>
  <cellXfs count="27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 applyAlignment="1">
      <alignment wrapText="1"/>
      <protection/>
    </xf>
    <xf numFmtId="2" fontId="19" fillId="0" borderId="0" xfId="56" applyNumberFormat="1" applyFont="1" applyAlignment="1">
      <alignment wrapText="1" shrinkToFit="1"/>
      <protection/>
    </xf>
    <xf numFmtId="2" fontId="0" fillId="0" borderId="10" xfId="0" applyNumberFormat="1" applyFont="1" applyBorder="1" applyAlignment="1">
      <alignment wrapText="1"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0" xfId="0" applyNumberFormat="1" applyFont="1" applyAlignment="1">
      <alignment/>
    </xf>
    <xf numFmtId="2" fontId="20" fillId="0" borderId="13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4" xfId="56" applyNumberFormat="1" applyBorder="1" applyAlignment="1">
      <alignment wrapText="1"/>
      <protection/>
    </xf>
    <xf numFmtId="2" fontId="0" fillId="0" borderId="15" xfId="56" applyNumberFormat="1" applyBorder="1">
      <alignment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16" xfId="56" applyNumberFormat="1" applyBorder="1" applyAlignment="1">
      <alignment wrapText="1"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>
      <alignment/>
      <protection/>
    </xf>
    <xf numFmtId="2" fontId="21" fillId="0" borderId="0" xfId="56" applyNumberFormat="1" applyFont="1">
      <alignment/>
      <protection/>
    </xf>
    <xf numFmtId="2" fontId="22" fillId="0" borderId="0" xfId="56" applyNumberFormat="1" applyFont="1" applyAlignment="1">
      <alignment wrapText="1" shrinkToFit="1"/>
      <protection/>
    </xf>
    <xf numFmtId="2" fontId="0" fillId="0" borderId="0" xfId="56" applyNumberFormat="1" applyFont="1" applyBorder="1">
      <alignment/>
      <protection/>
    </xf>
    <xf numFmtId="2" fontId="21" fillId="0" borderId="0" xfId="0" applyNumberFormat="1" applyFont="1" applyAlignment="1">
      <alignment/>
    </xf>
    <xf numFmtId="2" fontId="0" fillId="0" borderId="17" xfId="56" applyNumberFormat="1" applyFont="1" applyBorder="1">
      <alignment/>
      <protection/>
    </xf>
    <xf numFmtId="2" fontId="21" fillId="0" borderId="0" xfId="56" applyNumberFormat="1" applyFon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27">
          <cell r="B27">
            <v>394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106.5989847715736</v>
          </cell>
          <cell r="AK27">
            <v>0</v>
          </cell>
          <cell r="AL27">
            <v>106.5989847715736</v>
          </cell>
          <cell r="AM27">
            <v>0</v>
          </cell>
          <cell r="AN27">
            <v>0</v>
          </cell>
          <cell r="AO27">
            <v>0</v>
          </cell>
        </row>
        <row r="86">
          <cell r="B86">
            <v>607</v>
          </cell>
          <cell r="C86">
            <v>3.1</v>
          </cell>
          <cell r="D86">
            <v>0.9</v>
          </cell>
          <cell r="E86">
            <v>18.5</v>
          </cell>
          <cell r="F86">
            <v>58.9</v>
          </cell>
          <cell r="G86">
            <v>3.5</v>
          </cell>
          <cell r="H86">
            <v>0</v>
          </cell>
          <cell r="I86">
            <v>0.5</v>
          </cell>
          <cell r="J86">
            <v>0.4</v>
          </cell>
          <cell r="K86">
            <v>680</v>
          </cell>
          <cell r="L86">
            <v>730</v>
          </cell>
          <cell r="M86">
            <v>380</v>
          </cell>
          <cell r="N86">
            <v>10</v>
          </cell>
          <cell r="O86">
            <v>1.5</v>
          </cell>
          <cell r="P86">
            <v>20</v>
          </cell>
          <cell r="Q86">
            <v>580</v>
          </cell>
          <cell r="R86">
            <v>10.6</v>
          </cell>
          <cell r="S86">
            <v>5.4</v>
          </cell>
          <cell r="T86">
            <v>1.48</v>
          </cell>
          <cell r="U86" t="str">
            <v>n</v>
          </cell>
          <cell r="V86" t="str">
            <v>n</v>
          </cell>
          <cell r="W86">
            <v>0.94</v>
          </cell>
          <cell r="X86">
            <v>0.17</v>
          </cell>
          <cell r="Y86">
            <v>6</v>
          </cell>
          <cell r="Z86">
            <v>5.1</v>
          </cell>
          <cell r="AA86">
            <v>0.76</v>
          </cell>
          <cell r="AB86">
            <v>0</v>
          </cell>
          <cell r="AC86">
            <v>99</v>
          </cell>
          <cell r="AD86">
            <v>0</v>
          </cell>
          <cell r="AE86">
            <v>0</v>
          </cell>
          <cell r="AF86">
            <v>0</v>
          </cell>
          <cell r="AG86">
            <v>2.57</v>
          </cell>
          <cell r="AH86">
            <v>87.33113673805602</v>
          </cell>
          <cell r="AI86">
            <v>12.191103789126853</v>
          </cell>
          <cell r="AJ86">
            <v>0.5930807248764415</v>
          </cell>
          <cell r="AK86">
            <v>12.454695222405274</v>
          </cell>
          <cell r="AL86">
            <v>0.26359143327841844</v>
          </cell>
          <cell r="AM86">
            <v>8.4</v>
          </cell>
          <cell r="AN86">
            <v>22</v>
          </cell>
          <cell r="AO86">
            <v>25.8</v>
          </cell>
        </row>
        <row r="87">
          <cell r="B87">
            <v>258</v>
          </cell>
          <cell r="C87">
            <v>33.9</v>
          </cell>
          <cell r="D87">
            <v>64</v>
          </cell>
          <cell r="E87">
            <v>0.9</v>
          </cell>
          <cell r="F87">
            <v>0.1</v>
          </cell>
          <cell r="G87">
            <v>0.1</v>
          </cell>
          <cell r="K87">
            <v>55</v>
          </cell>
          <cell r="R87">
            <v>6.6</v>
          </cell>
          <cell r="W87">
            <v>0.04</v>
          </cell>
          <cell r="X87">
            <v>0.73</v>
          </cell>
          <cell r="Z87">
            <v>0.7</v>
          </cell>
          <cell r="AH87">
            <v>0.3488372093023256</v>
          </cell>
          <cell r="AI87">
            <v>1.3953488372093024</v>
          </cell>
          <cell r="AJ87">
            <v>99.2248062015504</v>
          </cell>
          <cell r="AK87">
            <v>0</v>
          </cell>
          <cell r="AL87">
            <v>0</v>
          </cell>
        </row>
        <row r="111">
          <cell r="B111">
            <v>163</v>
          </cell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12.760736196319018</v>
          </cell>
          <cell r="AJ111">
            <v>92.760736196319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6">
          <cell r="B6">
            <v>359.8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3.501945525291829</v>
          </cell>
          <cell r="AI6">
            <v>12.784880489160644</v>
          </cell>
          <cell r="AJ6">
            <v>83.71317398554753</v>
          </cell>
          <cell r="AK6">
            <v>0.500277932184547</v>
          </cell>
          <cell r="AL6">
            <v>1.556420233463035</v>
          </cell>
          <cell r="AM6">
            <v>0.2</v>
          </cell>
          <cell r="AN6">
            <v>0.1</v>
          </cell>
          <cell r="AO6">
            <v>0.6</v>
          </cell>
        </row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8">
          <cell r="B8">
            <v>661</v>
          </cell>
          <cell r="C8">
            <v>3.7</v>
          </cell>
          <cell r="D8">
            <v>20</v>
          </cell>
          <cell r="E8">
            <v>16.1</v>
          </cell>
          <cell r="F8">
            <v>57.4</v>
          </cell>
          <cell r="G8">
            <v>2.7</v>
          </cell>
          <cell r="K8">
            <v>228</v>
          </cell>
          <cell r="L8">
            <v>448</v>
          </cell>
          <cell r="P8">
            <v>4.4</v>
          </cell>
          <cell r="Q8">
            <v>793</v>
          </cell>
          <cell r="R8">
            <v>4.4</v>
          </cell>
          <cell r="W8">
            <v>0.29</v>
          </cell>
          <cell r="X8">
            <v>0.5</v>
          </cell>
          <cell r="Z8">
            <v>3.4</v>
          </cell>
          <cell r="AH8">
            <v>78.15431164901665</v>
          </cell>
          <cell r="AI8">
            <v>9.742813918305599</v>
          </cell>
          <cell r="AJ8">
            <v>12.10287443267776</v>
          </cell>
          <cell r="AK8">
            <v>0</v>
          </cell>
          <cell r="AL8">
            <v>0</v>
          </cell>
        </row>
        <row r="11">
          <cell r="B11">
            <v>899</v>
          </cell>
          <cell r="C11" t="str">
            <v>tr</v>
          </cell>
          <cell r="D11" t="str">
            <v>tr</v>
          </cell>
          <cell r="E11" t="str">
            <v>tr</v>
          </cell>
          <cell r="F11">
            <v>99.9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tr</v>
          </cell>
          <cell r="L11" t="str">
            <v>tr</v>
          </cell>
          <cell r="M11" t="str">
            <v>tr</v>
          </cell>
          <cell r="P11" t="str">
            <v>tr</v>
          </cell>
          <cell r="Q11" t="str">
            <v>tr</v>
          </cell>
          <cell r="R11" t="str">
            <v>tr</v>
          </cell>
          <cell r="S11" t="str">
            <v>tr</v>
          </cell>
          <cell r="T11" t="str">
            <v>tr</v>
          </cell>
          <cell r="U11" t="str">
            <v>tr</v>
          </cell>
          <cell r="V11" t="str">
            <v>n</v>
          </cell>
          <cell r="W11" t="str">
            <v>tr</v>
          </cell>
          <cell r="X11" t="str">
            <v>tr</v>
          </cell>
          <cell r="Y11" t="str">
            <v>tr</v>
          </cell>
          <cell r="Z11" t="str">
            <v>tr</v>
          </cell>
          <cell r="AA11" t="str">
            <v>tr</v>
          </cell>
          <cell r="AB11">
            <v>0</v>
          </cell>
          <cell r="AC11" t="str">
            <v>tr</v>
          </cell>
          <cell r="AD11">
            <v>0</v>
          </cell>
          <cell r="AE11">
            <v>0</v>
          </cell>
          <cell r="AF11">
            <v>0</v>
          </cell>
          <cell r="AG11">
            <v>17.24</v>
          </cell>
          <cell r="AH11">
            <v>100.0111234705228</v>
          </cell>
          <cell r="AK11">
            <v>12.714126807563959</v>
          </cell>
          <cell r="AL11">
            <v>0</v>
          </cell>
          <cell r="AM11">
            <v>12.7</v>
          </cell>
          <cell r="AN11">
            <v>24.7</v>
          </cell>
          <cell r="AO11">
            <v>57.8</v>
          </cell>
        </row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27">
          <cell r="B27">
            <v>420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100</v>
          </cell>
          <cell r="AK27">
            <v>0</v>
          </cell>
          <cell r="AL27">
            <v>100</v>
          </cell>
          <cell r="AM27">
            <v>0</v>
          </cell>
          <cell r="AN27">
            <v>0</v>
          </cell>
          <cell r="AO27">
            <v>0</v>
          </cell>
        </row>
        <row r="65">
          <cell r="B65">
            <v>76.1</v>
          </cell>
          <cell r="C65">
            <v>80.3</v>
          </cell>
          <cell r="D65">
            <v>17</v>
          </cell>
          <cell r="E65">
            <v>1.8</v>
          </cell>
          <cell r="F65">
            <v>0.1</v>
          </cell>
          <cell r="G65">
            <v>1.4</v>
          </cell>
          <cell r="H65">
            <v>0</v>
          </cell>
          <cell r="I65">
            <v>16.3</v>
          </cell>
          <cell r="J65">
            <v>0.7</v>
          </cell>
          <cell r="K65">
            <v>5</v>
          </cell>
          <cell r="L65">
            <v>31</v>
          </cell>
          <cell r="M65">
            <v>14</v>
          </cell>
          <cell r="N65">
            <v>45</v>
          </cell>
          <cell r="O65">
            <v>0.1</v>
          </cell>
          <cell r="P65">
            <v>7</v>
          </cell>
          <cell r="Q65">
            <v>280</v>
          </cell>
          <cell r="R65">
            <v>0.4</v>
          </cell>
          <cell r="S65">
            <v>0.3</v>
          </cell>
          <cell r="T65">
            <v>0.07</v>
          </cell>
          <cell r="U65">
            <v>1</v>
          </cell>
          <cell r="V65">
            <v>3</v>
          </cell>
          <cell r="W65">
            <v>0.18</v>
          </cell>
          <cell r="X65">
            <v>0.01</v>
          </cell>
          <cell r="Y65" t="str">
            <v>tr</v>
          </cell>
          <cell r="Z65">
            <v>0.5</v>
          </cell>
          <cell r="AA65">
            <v>0.33</v>
          </cell>
          <cell r="AB65">
            <v>0</v>
          </cell>
          <cell r="AC65">
            <v>26</v>
          </cell>
          <cell r="AD65">
            <v>6</v>
          </cell>
          <cell r="AE65">
            <v>0</v>
          </cell>
          <cell r="AF65">
            <v>0</v>
          </cell>
          <cell r="AG65">
            <v>0.06</v>
          </cell>
          <cell r="AH65">
            <v>1.1826544021024967</v>
          </cell>
          <cell r="AI65">
            <v>9.461235216819974</v>
          </cell>
          <cell r="AJ65">
            <v>89.35611038107754</v>
          </cell>
          <cell r="AK65">
            <v>0</v>
          </cell>
          <cell r="AL65">
            <v>3.6793692509855456</v>
          </cell>
          <cell r="AM65" t="str">
            <v>tr</v>
          </cell>
          <cell r="AN65" t="str">
            <v>tr</v>
          </cell>
          <cell r="AO65">
            <v>0.1</v>
          </cell>
        </row>
        <row r="77">
          <cell r="B77">
            <v>598</v>
          </cell>
          <cell r="C77">
            <v>4.6</v>
          </cell>
          <cell r="D77">
            <v>0.9</v>
          </cell>
          <cell r="E77">
            <v>18.2</v>
          </cell>
          <cell r="F77">
            <v>58</v>
          </cell>
          <cell r="G77">
            <v>7.9</v>
          </cell>
          <cell r="I77">
            <v>0.5</v>
          </cell>
          <cell r="J77">
            <v>0.4</v>
          </cell>
          <cell r="K77">
            <v>670</v>
          </cell>
          <cell r="L77">
            <v>720</v>
          </cell>
          <cell r="M77">
            <v>370</v>
          </cell>
          <cell r="N77">
            <v>10</v>
          </cell>
          <cell r="O77">
            <v>1.5</v>
          </cell>
          <cell r="P77">
            <v>20</v>
          </cell>
          <cell r="Q77">
            <v>570</v>
          </cell>
          <cell r="R77">
            <v>10.4</v>
          </cell>
          <cell r="S77">
            <v>5.3</v>
          </cell>
          <cell r="T77">
            <v>1.46</v>
          </cell>
          <cell r="U77" t="str">
            <v>n</v>
          </cell>
          <cell r="V77" t="str">
            <v>n</v>
          </cell>
          <cell r="W77">
            <v>0.93</v>
          </cell>
          <cell r="X77">
            <v>0.17</v>
          </cell>
          <cell r="Y77">
            <v>6</v>
          </cell>
          <cell r="Z77">
            <v>5</v>
          </cell>
          <cell r="AA77">
            <v>0.75</v>
          </cell>
          <cell r="AB77">
            <v>0</v>
          </cell>
          <cell r="AC77">
            <v>97</v>
          </cell>
          <cell r="AD77">
            <v>0</v>
          </cell>
          <cell r="AE77">
            <v>0</v>
          </cell>
          <cell r="AF77">
            <v>0</v>
          </cell>
          <cell r="AG77">
            <v>2.53</v>
          </cell>
          <cell r="AH77">
            <v>1.5802675585284283</v>
          </cell>
          <cell r="AI77">
            <v>8.481605351170568</v>
          </cell>
          <cell r="AJ77">
            <v>48.71571906354515</v>
          </cell>
          <cell r="AK77">
            <v>12.491638795986622</v>
          </cell>
          <cell r="AL77">
            <v>0.26755852842809363</v>
          </cell>
          <cell r="AM77">
            <v>8.3</v>
          </cell>
          <cell r="AN77">
            <v>21.7</v>
          </cell>
          <cell r="AO77">
            <v>25.5</v>
          </cell>
        </row>
        <row r="78">
          <cell r="B78">
            <v>360</v>
          </cell>
          <cell r="C78">
            <v>12.67</v>
          </cell>
          <cell r="D78">
            <v>72.83</v>
          </cell>
          <cell r="E78">
            <v>12.68</v>
          </cell>
          <cell r="F78">
            <v>1.05</v>
          </cell>
          <cell r="G78">
            <v>0</v>
          </cell>
          <cell r="H78">
            <v>0</v>
          </cell>
          <cell r="K78">
            <v>17</v>
          </cell>
          <cell r="L78">
            <v>136</v>
          </cell>
          <cell r="M78">
            <v>47</v>
          </cell>
          <cell r="O78">
            <v>0.619</v>
          </cell>
          <cell r="P78">
            <v>1</v>
          </cell>
          <cell r="Q78">
            <v>186</v>
          </cell>
          <cell r="R78">
            <v>1.23</v>
          </cell>
          <cell r="S78">
            <v>1.05</v>
          </cell>
          <cell r="T78">
            <v>0.189</v>
          </cell>
          <cell r="W78">
            <v>0.28</v>
          </cell>
          <cell r="X78">
            <v>0.08</v>
          </cell>
          <cell r="Z78">
            <v>3.31</v>
          </cell>
          <cell r="AA78">
            <v>0.103</v>
          </cell>
          <cell r="AB78">
            <v>0</v>
          </cell>
          <cell r="AC78">
            <v>72</v>
          </cell>
          <cell r="AD78">
            <v>0</v>
          </cell>
          <cell r="AE78">
            <v>0</v>
          </cell>
          <cell r="AF78">
            <v>0</v>
          </cell>
          <cell r="AH78">
            <v>2.6250000000000004</v>
          </cell>
          <cell r="AI78">
            <v>14.088888888888889</v>
          </cell>
          <cell r="AJ78">
            <v>80.92222222222222</v>
          </cell>
          <cell r="AK78">
            <v>0.375</v>
          </cell>
          <cell r="AL78">
            <v>0</v>
          </cell>
          <cell r="AM78">
            <v>0.15</v>
          </cell>
          <cell r="AN78">
            <v>0.124</v>
          </cell>
          <cell r="AO78">
            <v>0.43</v>
          </cell>
        </row>
        <row r="81">
          <cell r="B81">
            <v>272</v>
          </cell>
          <cell r="C81">
            <v>13.2</v>
          </cell>
          <cell r="D81">
            <v>69.3</v>
          </cell>
          <cell r="E81">
            <v>2.1</v>
          </cell>
          <cell r="F81">
            <v>0.4</v>
          </cell>
          <cell r="G81">
            <v>6.1</v>
          </cell>
          <cell r="H81">
            <v>0</v>
          </cell>
          <cell r="I81">
            <v>0</v>
          </cell>
          <cell r="J81">
            <v>69.3</v>
          </cell>
          <cell r="K81">
            <v>46</v>
          </cell>
          <cell r="L81">
            <v>76</v>
          </cell>
          <cell r="M81">
            <v>35</v>
          </cell>
          <cell r="N81">
            <v>9</v>
          </cell>
          <cell r="O81">
            <v>0.3</v>
          </cell>
          <cell r="P81">
            <v>60</v>
          </cell>
          <cell r="Q81">
            <v>1020</v>
          </cell>
          <cell r="R81">
            <v>3.8</v>
          </cell>
          <cell r="S81">
            <v>0.7</v>
          </cell>
          <cell r="T81">
            <v>0.39</v>
          </cell>
          <cell r="U81">
            <v>8</v>
          </cell>
          <cell r="V81" t="str">
            <v>n</v>
          </cell>
          <cell r="W81">
            <v>0.12</v>
          </cell>
          <cell r="X81">
            <v>0.05</v>
          </cell>
          <cell r="Y81">
            <v>12</v>
          </cell>
          <cell r="Z81">
            <v>0.6</v>
          </cell>
          <cell r="AA81">
            <v>0.25</v>
          </cell>
          <cell r="AB81">
            <v>0</v>
          </cell>
          <cell r="AC81">
            <v>10</v>
          </cell>
          <cell r="AD81">
            <v>1</v>
          </cell>
          <cell r="AE81">
            <v>0</v>
          </cell>
          <cell r="AF81">
            <v>0</v>
          </cell>
          <cell r="AG81" t="str">
            <v>n</v>
          </cell>
          <cell r="AH81">
            <v>1.3235294117647058</v>
          </cell>
          <cell r="AI81">
            <v>3.088235294117647</v>
          </cell>
          <cell r="AJ81">
            <v>101.91176470588235</v>
          </cell>
          <cell r="AL81">
            <v>101.91176470588235</v>
          </cell>
          <cell r="AM81" t="str">
            <v>n</v>
          </cell>
          <cell r="AN81" t="str">
            <v>n</v>
          </cell>
          <cell r="AO81" t="str">
            <v>n</v>
          </cell>
        </row>
        <row r="87">
          <cell r="B87">
            <v>258</v>
          </cell>
          <cell r="C87">
            <v>33.9</v>
          </cell>
          <cell r="D87">
            <v>64</v>
          </cell>
          <cell r="E87">
            <v>0.9</v>
          </cell>
          <cell r="F87">
            <v>0.1</v>
          </cell>
          <cell r="G87">
            <v>0.1</v>
          </cell>
          <cell r="K87">
            <v>55</v>
          </cell>
          <cell r="R87">
            <v>6.6</v>
          </cell>
          <cell r="W87">
            <v>0.04</v>
          </cell>
          <cell r="X87">
            <v>0.73</v>
          </cell>
          <cell r="Z87">
            <v>0.7</v>
          </cell>
        </row>
        <row r="98">
          <cell r="B98">
            <v>899</v>
          </cell>
          <cell r="C98" t="str">
            <v>tr</v>
          </cell>
          <cell r="D98">
            <v>0</v>
          </cell>
          <cell r="E98" t="str">
            <v>tr</v>
          </cell>
          <cell r="F98">
            <v>99.9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tr</v>
          </cell>
          <cell r="L98" t="str">
            <v>tr</v>
          </cell>
          <cell r="M98" t="str">
            <v>tr</v>
          </cell>
          <cell r="N98" t="str">
            <v>tr</v>
          </cell>
          <cell r="O98" t="str">
            <v>tr</v>
          </cell>
          <cell r="P98" t="str">
            <v>tr</v>
          </cell>
          <cell r="Q98" t="str">
            <v>tr</v>
          </cell>
          <cell r="R98" t="str">
            <v>tr</v>
          </cell>
          <cell r="S98" t="str">
            <v>tr</v>
          </cell>
          <cell r="T98" t="str">
            <v>tr</v>
          </cell>
          <cell r="U98" t="str">
            <v>tr</v>
          </cell>
          <cell r="V98" t="str">
            <v>n</v>
          </cell>
          <cell r="W98" t="str">
            <v>tr</v>
          </cell>
          <cell r="X98" t="str">
            <v>tr</v>
          </cell>
          <cell r="Y98" t="str">
            <v>tr</v>
          </cell>
          <cell r="Z98" t="str">
            <v>tr</v>
          </cell>
          <cell r="AA98" t="str">
            <v>tr</v>
          </cell>
          <cell r="AB98">
            <v>0</v>
          </cell>
          <cell r="AC98" t="str">
            <v>tr</v>
          </cell>
          <cell r="AD98">
            <v>0</v>
          </cell>
          <cell r="AE98">
            <v>0</v>
          </cell>
          <cell r="AF98">
            <v>0</v>
          </cell>
          <cell r="AG98">
            <v>15.16</v>
          </cell>
          <cell r="AH98">
            <v>100.0111234705228</v>
          </cell>
          <cell r="AJ98">
            <v>0</v>
          </cell>
          <cell r="AK98">
            <v>18.82091212458287</v>
          </cell>
          <cell r="AL98">
            <v>0</v>
          </cell>
          <cell r="AM98">
            <v>18.8</v>
          </cell>
          <cell r="AN98">
            <v>47.8</v>
          </cell>
          <cell r="AO98">
            <v>28.5</v>
          </cell>
        </row>
        <row r="102">
          <cell r="B102">
            <v>7.6</v>
          </cell>
          <cell r="C102">
            <v>91.4</v>
          </cell>
          <cell r="D102">
            <v>1.6</v>
          </cell>
          <cell r="E102">
            <v>0.3</v>
          </cell>
          <cell r="F102" t="str">
            <v>tr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O102" t="str">
            <v>tr</v>
          </cell>
          <cell r="P102">
            <v>1</v>
          </cell>
          <cell r="Q102">
            <v>130</v>
          </cell>
          <cell r="R102">
            <v>0.1</v>
          </cell>
          <cell r="S102" t="str">
            <v>tr</v>
          </cell>
          <cell r="T102">
            <v>0.03</v>
          </cell>
          <cell r="U102">
            <v>1</v>
          </cell>
          <cell r="V102" t="str">
            <v>n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G102" t="str">
            <v>n</v>
          </cell>
          <cell r="AH102">
            <v>0</v>
          </cell>
          <cell r="AI102">
            <v>15.789473684210527</v>
          </cell>
          <cell r="AJ102">
            <v>84.21052631578948</v>
          </cell>
          <cell r="AK102">
            <v>0</v>
          </cell>
          <cell r="AL102">
            <v>84.21052631578948</v>
          </cell>
        </row>
        <row r="111">
          <cell r="B111">
            <v>172</v>
          </cell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12.093023255813954</v>
          </cell>
          <cell r="AJ111">
            <v>87.90697674418604</v>
          </cell>
          <cell r="AK111">
            <v>0</v>
          </cell>
          <cell r="AL111">
            <v>0</v>
          </cell>
          <cell r="AM111">
            <v>0</v>
          </cell>
        </row>
        <row r="147">
          <cell r="B147">
            <v>37</v>
          </cell>
        </row>
        <row r="149">
          <cell r="B149">
            <v>304</v>
          </cell>
          <cell r="C149">
            <v>17.1</v>
          </cell>
          <cell r="D149">
            <v>82.4</v>
          </cell>
          <cell r="E149">
            <v>0.3</v>
          </cell>
          <cell r="F149">
            <v>0</v>
          </cell>
          <cell r="G149">
            <v>0.2</v>
          </cell>
          <cell r="H149">
            <v>0</v>
          </cell>
          <cell r="I149" t="str">
            <v>-</v>
          </cell>
          <cell r="J149">
            <v>82.12</v>
          </cell>
          <cell r="K149">
            <v>6</v>
          </cell>
          <cell r="L149">
            <v>4</v>
          </cell>
          <cell r="M149">
            <v>2</v>
          </cell>
          <cell r="N149" t="str">
            <v>-</v>
          </cell>
          <cell r="O149">
            <v>0.08</v>
          </cell>
          <cell r="P149">
            <v>4</v>
          </cell>
          <cell r="Q149">
            <v>52</v>
          </cell>
          <cell r="R149">
            <v>0.42</v>
          </cell>
          <cell r="S149">
            <v>0.22</v>
          </cell>
          <cell r="T149">
            <v>0.036</v>
          </cell>
          <cell r="U149">
            <v>0.8</v>
          </cell>
          <cell r="W149">
            <v>0</v>
          </cell>
          <cell r="X149">
            <v>0.038</v>
          </cell>
          <cell r="Y149">
            <v>0</v>
          </cell>
          <cell r="Z149">
            <v>0.121</v>
          </cell>
          <cell r="AA149">
            <v>0.024</v>
          </cell>
          <cell r="AB149">
            <v>0</v>
          </cell>
          <cell r="AC149">
            <v>2</v>
          </cell>
          <cell r="AD149">
            <v>0.5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0.39473684210526316</v>
          </cell>
          <cell r="AJ149">
            <v>108.42105263157895</v>
          </cell>
          <cell r="AK149">
            <v>0</v>
          </cell>
          <cell r="AL149">
            <v>108.05263157894737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6"/>
  <sheetViews>
    <sheetView tabSelected="1" view="pageLayout" zoomScale="55" zoomScaleNormal="55" zoomScalePageLayoutView="55" workbookViewId="0" topLeftCell="A1">
      <selection activeCell="A23" sqref="A23"/>
    </sheetView>
  </sheetViews>
  <sheetFormatPr defaultColWidth="9.140625" defaultRowHeight="15"/>
  <cols>
    <col min="1" max="1" width="20.28125" style="2" customWidth="1"/>
    <col min="2" max="3" width="9.140625" style="1" customWidth="1"/>
    <col min="4" max="4" width="11.8515625" style="1" customWidth="1"/>
    <col min="5" max="5" width="16.7109375" style="1" customWidth="1"/>
    <col min="6" max="8" width="9.140625" style="1" customWidth="1"/>
    <col min="9" max="9" width="11.57421875" style="1" customWidth="1"/>
    <col min="10" max="12" width="9.140625" style="1" customWidth="1"/>
    <col min="13" max="13" width="11.28125" style="1" customWidth="1"/>
    <col min="14" max="14" width="11.8515625" style="1" customWidth="1"/>
    <col min="15" max="15" width="9.140625" style="1" customWidth="1"/>
    <col min="16" max="16" width="13.57421875" style="1" customWidth="1"/>
    <col min="17" max="17" width="11.28125" style="1" customWidth="1"/>
    <col min="18" max="18" width="10.421875" style="1" customWidth="1"/>
    <col min="19" max="19" width="11.28125" style="1" customWidth="1"/>
    <col min="20" max="21" width="9.140625" style="1" customWidth="1"/>
    <col min="22" max="22" width="10.8515625" style="1" customWidth="1"/>
    <col min="23" max="16384" width="9.140625" style="1" customWidth="1"/>
  </cols>
  <sheetData>
    <row r="1" spans="1:47" s="21" customFormat="1" ht="18">
      <c r="A1" s="26" t="s">
        <v>130</v>
      </c>
      <c r="B1" s="26"/>
      <c r="C1" s="26"/>
      <c r="D1" s="26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" s="21" customFormat="1" ht="18">
      <c r="A2" s="26" t="s">
        <v>118</v>
      </c>
      <c r="B2" s="26"/>
      <c r="C2" s="26"/>
      <c r="D2" s="26"/>
    </row>
    <row r="4" spans="1:23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  <c r="W4" s="8"/>
    </row>
    <row r="5" spans="1:22" ht="14.25">
      <c r="A5" s="12" t="s">
        <v>31</v>
      </c>
      <c r="B5" s="13">
        <v>2000</v>
      </c>
      <c r="C5" s="13">
        <f>20*'[2]ΣΥΣΤΑΣΗ ΤΡΟΦΙΜΩΝ'!B6</f>
        <v>7196</v>
      </c>
      <c r="D5" s="13">
        <f>20*'[2]ΣΥΣΤΑΣΗ ΤΡΟΦΙΜΩΝ'!C6</f>
        <v>280</v>
      </c>
      <c r="E5" s="13">
        <f>20*'[2]ΣΥΣΤΑΣΗ ΤΡΟΦΙΜΩΝ'!D6</f>
        <v>1506</v>
      </c>
      <c r="F5" s="13">
        <f>20*'[2]ΣΥΣΤΑΣΗ ΤΡΟΦΙΜΩΝ'!E6</f>
        <v>230</v>
      </c>
      <c r="G5" s="13">
        <f>20*'[2]ΣΥΣΤΑΣΗ ΤΡΟΦΙΜΩΝ'!F6</f>
        <v>28</v>
      </c>
      <c r="H5" s="13">
        <f>20*'[2]ΣΥΣΤΑΣΗ ΤΡΟΦΙΜΩΝ'!G6</f>
        <v>74</v>
      </c>
      <c r="I5" s="13">
        <f>20*'[2]ΣΥΣΤΑΣΗ ΤΡΟΦΙΜΩΝ'!H6</f>
        <v>0</v>
      </c>
      <c r="J5" s="13">
        <f>20*'[2]ΣΥΣΤΑΣΗ ΤΡΟΦΙΜΩΝ'!I6</f>
        <v>1478</v>
      </c>
      <c r="K5" s="13">
        <f>20*'[2]ΣΥΣΤΑΣΗ ΤΡΟΦΙΜΩΝ'!J6</f>
        <v>28</v>
      </c>
      <c r="L5" s="13">
        <f>20*'[2]ΣΥΣΤΑΣΗ ΤΡΟΦΙΜΩΝ'!K6</f>
        <v>300</v>
      </c>
      <c r="M5" s="13">
        <f>20*'[2]ΣΥΣΤΑΣΗ ΤΡΟΦΙΜΩΝ'!L6</f>
        <v>2400</v>
      </c>
      <c r="N5" s="13">
        <f>20*'[2]ΣΥΣΤΑΣΗ ΤΡΟΦΙΜΩΝ'!M6</f>
        <v>620</v>
      </c>
      <c r="O5" s="13">
        <f>20*'[2]ΣΥΣΤΑΣΗ ΤΡΟΦΙΜΩΝ'!N6</f>
        <v>0</v>
      </c>
      <c r="P5" s="13">
        <f>20*'[2]ΣΥΣΤΑΣΗ ΤΡΟΦΙΜΩΝ'!O6</f>
        <v>0</v>
      </c>
      <c r="Q5" s="13">
        <f>20*'[2]ΣΥΣΤΑΣΗ ΤΡΟΦΙΜΩΝ'!P6</f>
        <v>60</v>
      </c>
      <c r="R5" s="13">
        <f>20*'[2]ΣΥΣΤΑΣΗ ΤΡΟΦΙΜΩΝ'!Q6</f>
        <v>2600</v>
      </c>
      <c r="S5" s="13">
        <f>20*'[2]ΣΥΣΤΑΣΗ ΤΡΟΦΙΜΩΝ'!R6</f>
        <v>30</v>
      </c>
      <c r="T5" s="13">
        <f>20*'[2]ΣΥΣΤΑΣΗ ΤΡΟΦΙΜΩΝ'!S6</f>
        <v>18</v>
      </c>
      <c r="U5" s="13">
        <f>20*'[2]ΣΥΣΤΑΣΗ ΤΡΟΦΙΜΩΝ'!T6</f>
        <v>3.5999999999999996</v>
      </c>
      <c r="V5" s="14">
        <f>20*'[2]ΣΥΣΤΑΣΗ ΤΡΟΦΙΜΩΝ'!U6</f>
        <v>840</v>
      </c>
    </row>
    <row r="6" spans="1:22" ht="14.25">
      <c r="A6" s="15" t="s">
        <v>30</v>
      </c>
      <c r="B6" s="11">
        <v>200</v>
      </c>
      <c r="C6" s="11">
        <f>2*'[2]ΣΥΣΤΑΣΗ ΤΡΟΦΙΜΩΝ'!B27</f>
        <v>840</v>
      </c>
      <c r="D6" s="11" t="str">
        <f>'[2]ΣΥΣΤΑΣΗ ΤΡΟΦΙΜΩΝ'!C27</f>
        <v>tr</v>
      </c>
      <c r="E6" s="11">
        <f>2*'[2]ΣΥΣΤΑΣΗ ΤΡΟΦΙΜΩΝ'!D27</f>
        <v>210</v>
      </c>
      <c r="F6" s="11" t="str">
        <f>'[2]ΣΥΣΤΑΣΗ ΤΡΟΦΙΜΩΝ'!E27</f>
        <v>tr</v>
      </c>
      <c r="G6" s="11">
        <f>2*'[2]ΣΥΣΤΑΣΗ ΤΡΟΦΙΜΩΝ'!F27</f>
        <v>0</v>
      </c>
      <c r="H6" s="11">
        <f>2*'[2]ΣΥΣΤΑΣΗ ΤΡΟΦΙΜΩΝ'!G27</f>
        <v>0</v>
      </c>
      <c r="I6" s="11">
        <f>2*'[2]ΣΥΣΤΑΣΗ ΤΡΟΦΙΜΩΝ'!H27</f>
        <v>0</v>
      </c>
      <c r="J6" s="11">
        <f>2*'[2]ΣΥΣΤΑΣΗ ΤΡΟΦΙΜΩΝ'!I27</f>
        <v>0</v>
      </c>
      <c r="K6" s="11">
        <f>2*'[2]ΣΥΣΤΑΣΗ ΤΡΟΦΙΜΩΝ'!J27</f>
        <v>210</v>
      </c>
      <c r="L6" s="11">
        <f>2*'[2]ΣΥΣΤΑΣΗ ΤΡΟΦΙΜΩΝ'!K27</f>
        <v>4</v>
      </c>
      <c r="M6" s="11" t="str">
        <f>'[2]ΣΥΣΤΑΣΗ ΤΡΟΦΙΜΩΝ'!L27</f>
        <v>tr</v>
      </c>
      <c r="N6" s="11" t="str">
        <f>'[2]ΣΥΣΤΑΣΗ ΤΡΟΦΙΜΩΝ'!M27</f>
        <v>tr</v>
      </c>
      <c r="O6" s="11">
        <f>2*'[2]ΣΥΣΤΑΣΗ ΤΡΟΦΙΜΩΝ'!N27</f>
        <v>0</v>
      </c>
      <c r="P6" s="11">
        <f>2*'[2]ΣΥΣΤΑΣΗ ΤΡΟΦΙΜΩΝ'!O27</f>
        <v>0</v>
      </c>
      <c r="Q6" s="11" t="str">
        <f>'[2]ΣΥΣΤΑΣΗ ΤΡΟΦΙΜΩΝ'!P27</f>
        <v>tr</v>
      </c>
      <c r="R6" s="11">
        <f>2*'[2]ΣΥΣΤΑΣΗ ΤΡΟΦΙΜΩΝ'!Q27</f>
        <v>4</v>
      </c>
      <c r="S6" s="11" t="str">
        <f>'[2]ΣΥΣΤΑΣΗ ΤΡΟΦΙΜΩΝ'!R27</f>
        <v>tr</v>
      </c>
      <c r="T6" s="11">
        <f>2*'[2]ΣΥΣΤΑΣΗ ΤΡΟΦΙΜΩΝ'!S27</f>
        <v>0.4</v>
      </c>
      <c r="U6" s="11">
        <f>2*'[2]ΣΥΣΤΑΣΗ ΤΡΟΦΙΜΩΝ'!T27</f>
        <v>0.04</v>
      </c>
      <c r="V6" s="16" t="str">
        <f>'[2]ΣΥΣΤΑΣΗ ΤΡΟΦΙΜΩΝ'!U27</f>
        <v>tr</v>
      </c>
    </row>
    <row r="7" spans="1:22" ht="14.25">
      <c r="A7" s="15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6"/>
    </row>
    <row r="8" spans="1:22" ht="14.25">
      <c r="A8" s="15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/>
    </row>
    <row r="9" spans="1:22" ht="14.25">
      <c r="A9" s="15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6"/>
    </row>
    <row r="10" spans="1:22" ht="14.25">
      <c r="A10" s="15" t="s">
        <v>26</v>
      </c>
      <c r="B10" s="11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7200</v>
      </c>
      <c r="P10" s="11"/>
      <c r="Q10" s="11">
        <v>2400</v>
      </c>
      <c r="R10" s="11"/>
      <c r="S10" s="11"/>
      <c r="T10" s="11"/>
      <c r="U10" s="11"/>
      <c r="V10" s="16"/>
    </row>
    <row r="11" spans="1:22" ht="14.25">
      <c r="A11" s="15" t="s">
        <v>25</v>
      </c>
      <c r="B11" s="11">
        <v>110</v>
      </c>
      <c r="C11" s="11">
        <f>1.1*'[2]ΣΥΣΤΑΣΗ ΤΡΟΦΙΜΩΝ'!B22</f>
        <v>988.9000000000001</v>
      </c>
      <c r="D11" s="11" t="s">
        <v>24</v>
      </c>
      <c r="E11" s="11" t="s">
        <v>24</v>
      </c>
      <c r="F11" s="11" t="s">
        <v>24</v>
      </c>
      <c r="G11" s="11">
        <f>1.1*'[2]ΣΥΣΤΑΣΗ ΤΡΟΦΙΜΩΝ'!F22</f>
        <v>109.89000000000001</v>
      </c>
      <c r="H11" s="11">
        <f>1.1*'[2]ΣΥΣΤΑΣΗ ΤΡΟΦΙΜΩΝ'!G22</f>
        <v>0</v>
      </c>
      <c r="I11" s="11">
        <f>1.1*'[2]ΣΥΣΤΑΣΗ ΤΡΟΦΙΜΩΝ'!H22</f>
        <v>0</v>
      </c>
      <c r="J11" s="11">
        <f>1.1*'[2]ΣΥΣΤΑΣΗ ΤΡΟΦΙΜΩΝ'!I22</f>
        <v>0</v>
      </c>
      <c r="K11" s="11">
        <f>1.1*'[2]ΣΥΣΤΑΣΗ ΤΡΟΦΙΜΩΝ'!J22</f>
        <v>0</v>
      </c>
      <c r="L11" s="11" t="str">
        <f>'[2]ΣΥΣΤΑΣΗ ΤΡΟΦΙΜΩΝ'!K22</f>
        <v>tr</v>
      </c>
      <c r="M11" s="11" t="str">
        <f>'[2]ΣΥΣΤΑΣΗ ΤΡΟΦΙΜΩΝ'!L22</f>
        <v>tr</v>
      </c>
      <c r="N11" s="11" t="str">
        <f>'[2]ΣΥΣΤΑΣΗ ΤΡΟΦΙΜΩΝ'!M22</f>
        <v>tr</v>
      </c>
      <c r="O11" s="11">
        <f>1.1*'[2]ΣΥΣΤΑΣΗ ΤΡΟΦΙΜΩΝ'!N22</f>
        <v>0</v>
      </c>
      <c r="P11" s="11">
        <f>1.1*'[2]ΣΥΣΤΑΣΗ ΤΡΟΦΙΜΩΝ'!O22</f>
        <v>0</v>
      </c>
      <c r="Q11" s="11" t="str">
        <f>'[2]ΣΥΣΤΑΣΗ ΤΡΟΦΙΜΩΝ'!P22</f>
        <v>tr</v>
      </c>
      <c r="R11" s="11" t="str">
        <f>'[2]ΣΥΣΤΑΣΗ ΤΡΟΦΙΜΩΝ'!Q22</f>
        <v>n</v>
      </c>
      <c r="S11" s="11" t="str">
        <f>'[2]ΣΥΣΤΑΣΗ ΤΡΟΦΙΜΩΝ'!R22</f>
        <v>tr</v>
      </c>
      <c r="T11" s="11" t="str">
        <f>'[2]ΣΥΣΤΑΣΗ ΤΡΟΦΙΜΩΝ'!S22</f>
        <v>tr</v>
      </c>
      <c r="U11" s="11" t="str">
        <f>'[2]ΣΥΣΤΑΣΗ ΤΡΟΦΙΜΩΝ'!T22</f>
        <v>tr</v>
      </c>
      <c r="V11" s="16" t="str">
        <f>'[2]ΣΥΣΤΑΣΗ ΤΡΟΦΙΜΩΝ'!U22</f>
        <v>tr</v>
      </c>
    </row>
    <row r="12" spans="1:22" ht="14.25">
      <c r="A12" s="15" t="s">
        <v>23</v>
      </c>
      <c r="B12" s="11">
        <v>30</v>
      </c>
      <c r="C12" s="11">
        <f>0.3*'[2]ΣΥΣΤΑΣΗ ΤΡΟΦΙΜΩΝ'!B111</f>
        <v>51.6</v>
      </c>
      <c r="D12" s="11">
        <f>0.3*'[2]ΣΥΣΤΑΣΗ ΤΡΟΦΙΜΩΝ'!C111</f>
        <v>1.89</v>
      </c>
      <c r="E12" s="11">
        <f>0.3*'[2]ΣΥΣΤΑΣΗ ΤΡΟΦΙΜΩΝ'!D111</f>
        <v>11.339999999999998</v>
      </c>
      <c r="F12" s="11">
        <f>0.3*'[2]ΣΥΣΤΑΣΗ ΤΡΟΦΙΜΩΝ'!E111</f>
        <v>1.56</v>
      </c>
      <c r="G12" s="11" t="str">
        <f>'[2]ΣΥΣΤΑΣΗ ΤΡΟΦΙΜΩΝ'!F111</f>
        <v>tr</v>
      </c>
      <c r="H12" s="11">
        <f>0.3*'[2]ΣΥΣΤΑΣΗ ΤΡΟΦΙΜΩΝ'!G111</f>
        <v>0</v>
      </c>
      <c r="I12" s="11">
        <f>0.3*'[2]ΣΥΣΤΑΣΗ ΤΡΟΦΙΜΩΝ'!H111</f>
        <v>0</v>
      </c>
      <c r="J12" s="11">
        <f>0.3*'[2]ΣΥΣΤΑΣΗ ΤΡΟΦΙΜΩΝ'!I111</f>
        <v>11.339999999999998</v>
      </c>
      <c r="K12" s="11" t="str">
        <f>'[2]ΣΥΣΤΑΣΗ ΤΡΟΦΙΜΩΝ'!J111</f>
        <v>tr</v>
      </c>
      <c r="L12" s="11">
        <f>0.3*'[2]ΣΥΣΤΑΣΗ ΤΡΟΦΙΜΩΝ'!K111</f>
        <v>339</v>
      </c>
      <c r="M12" s="11">
        <f>0.3*'[2]ΣΥΣΤΑΣΗ ΤΡΟΦΙΜΩΝ'!L111</f>
        <v>2529</v>
      </c>
      <c r="N12" s="11">
        <f>0.3*'[2]ΣΥΣΤΑΣΗ ΤΡΟΦΙΜΩΝ'!M111</f>
        <v>2.6999999999999997</v>
      </c>
      <c r="O12" s="11">
        <f>0.3*'[2]ΣΥΣΤΑΣΗ ΤΡΟΦΙΜΩΝ'!N111</f>
        <v>8.7</v>
      </c>
      <c r="P12" s="11" t="str">
        <f>'[2]ΣΥΣΤΑΣΗ ΤΡΟΦΙΜΩΝ'!O111</f>
        <v>tr</v>
      </c>
      <c r="Q12" s="11">
        <f>0.3*'[2]ΣΥΣΤΑΣΗ ΤΡΟΦΙΜΩΝ'!P111</f>
        <v>3540</v>
      </c>
      <c r="R12" s="11">
        <f>0.3*'[2]ΣΥΣΤΑΣΗ ΤΡΟΦΙΜΩΝ'!Q111</f>
        <v>14.7</v>
      </c>
      <c r="S12" s="11" t="str">
        <f>'[2]ΣΥΣΤΑΣΗ ΤΡΟΦΙΜΩΝ'!R111</f>
        <v>tr</v>
      </c>
      <c r="T12" s="11">
        <f>0.3*'[2]ΣΥΣΤΑΣΗ ΤΡΟΦΙΜΩΝ'!S111</f>
        <v>0.84</v>
      </c>
      <c r="U12" s="11" t="str">
        <f>'[2]ΣΥΣΤΑΣΗ ΤΡΟΦΙΜΩΝ'!T111</f>
        <v>tr</v>
      </c>
      <c r="V12" s="16" t="str">
        <f>'[2]ΣΥΣΤΑΣΗ ΤΡΟΦΙΜΩΝ'!U111</f>
        <v>tr</v>
      </c>
    </row>
    <row r="13" spans="1:22" ht="14.25">
      <c r="A13" s="15" t="s">
        <v>22</v>
      </c>
      <c r="B13" s="11">
        <v>1000</v>
      </c>
      <c r="C13" s="11">
        <f>10*'[2]ΣΥΣΤΑΣΗ ΤΡΟΦΙΜΩΝ'!B77</f>
        <v>5980</v>
      </c>
      <c r="D13" s="11">
        <f>10*'[2]ΣΥΣΤΑΣΗ ΤΡΟΦΙΜΩΝ'!C77</f>
        <v>46</v>
      </c>
      <c r="E13" s="11">
        <f>10*'[2]ΣΥΣΤΑΣΗ ΤΡΟΦΙΜΩΝ'!D77</f>
        <v>9</v>
      </c>
      <c r="F13" s="11">
        <f>10*'[2]ΣΥΣΤΑΣΗ ΤΡΟΦΙΜΩΝ'!E77</f>
        <v>182</v>
      </c>
      <c r="G13" s="11">
        <f>10*'[2]ΣΥΣΤΑΣΗ ΤΡΟΦΙΜΩΝ'!F77</f>
        <v>580</v>
      </c>
      <c r="H13" s="11">
        <f>10*'[2]ΣΥΣΤΑΣΗ ΤΡΟΦΙΜΩΝ'!G77</f>
        <v>79</v>
      </c>
      <c r="I13" s="11">
        <f>10*'[2]ΣΥΣΤΑΣΗ ΤΡΟΦΙΜΩΝ'!H77</f>
        <v>0</v>
      </c>
      <c r="J13" s="11">
        <f>10*'[2]ΣΥΣΤΑΣΗ ΤΡΟΦΙΜΩΝ'!I77</f>
        <v>5</v>
      </c>
      <c r="K13" s="11">
        <f>10*'[2]ΣΥΣΤΑΣΗ ΤΡΟΦΙΜΩΝ'!J77</f>
        <v>4</v>
      </c>
      <c r="L13" s="11">
        <f>10*'[2]ΣΥΣΤΑΣΗ ΤΡΟΦΙΜΩΝ'!K77</f>
        <v>6700</v>
      </c>
      <c r="M13" s="11">
        <f>10*'[2]ΣΥΣΤΑΣΗ ΤΡΟΦΙΜΩΝ'!L77</f>
        <v>7200</v>
      </c>
      <c r="N13" s="11">
        <f>10*'[2]ΣΥΣΤΑΣΗ ΤΡΟΦΙΜΩΝ'!M77</f>
        <v>3700</v>
      </c>
      <c r="O13" s="11">
        <f>10*'[2]ΣΥΣΤΑΣΗ ΤΡΟΦΙΜΩΝ'!N77</f>
        <v>100</v>
      </c>
      <c r="P13" s="11">
        <f>10*'[2]ΣΥΣΤΑΣΗ ΤΡΟΦΙΜΩΝ'!O77</f>
        <v>15</v>
      </c>
      <c r="Q13" s="11">
        <f>10*'[2]ΣΥΣΤΑΣΗ ΤΡΟΦΙΜΩΝ'!P77</f>
        <v>200</v>
      </c>
      <c r="R13" s="11">
        <f>10*'[2]ΣΥΣΤΑΣΗ ΤΡΟΦΙΜΩΝ'!Q77</f>
        <v>5700</v>
      </c>
      <c r="S13" s="11">
        <f>10*'[2]ΣΥΣΤΑΣΗ ΤΡΟΦΙΜΩΝ'!R77</f>
        <v>104</v>
      </c>
      <c r="T13" s="11">
        <f>10*'[2]ΣΥΣΤΑΣΗ ΤΡΟΦΙΜΩΝ'!S77</f>
        <v>53</v>
      </c>
      <c r="U13" s="11">
        <f>10*'[2]ΣΥΣΤΑΣΗ ΤΡΟΦΙΜΩΝ'!T77</f>
        <v>14.6</v>
      </c>
      <c r="V13" s="16" t="str">
        <f>'[2]ΣΥΣΤΑΣΗ ΤΡΟΦΙΜΩΝ'!U77</f>
        <v>n</v>
      </c>
    </row>
    <row r="14" spans="1:22" ht="14.25">
      <c r="A14" s="15" t="s">
        <v>21</v>
      </c>
      <c r="B14" s="11">
        <v>247.5</v>
      </c>
      <c r="C14" s="11">
        <f>2.475*'[2]ΣΥΣΤΑΣΗ ΤΡΟΦΙΜΩΝ'!B81</f>
        <v>673.2</v>
      </c>
      <c r="D14" s="11">
        <f>2.475*'[2]ΣΥΣΤΑΣΗ ΤΡΟΦΙΜΩΝ'!C81</f>
        <v>32.67</v>
      </c>
      <c r="E14" s="11">
        <f>2.475*'[2]ΣΥΣΤΑΣΗ ΤΡΟΦΙΜΩΝ'!D81</f>
        <v>171.5175</v>
      </c>
      <c r="F14" s="11">
        <f>2.475*'[2]ΣΥΣΤΑΣΗ ΤΡΟΦΙΜΩΝ'!E81</f>
        <v>5.197500000000001</v>
      </c>
      <c r="G14" s="11">
        <f>2.475*'[2]ΣΥΣΤΑΣΗ ΤΡΟΦΙΜΩΝ'!F81</f>
        <v>0.9900000000000001</v>
      </c>
      <c r="H14" s="11">
        <f>2.475*'[2]ΣΥΣΤΑΣΗ ΤΡΟΦΙΜΩΝ'!G81</f>
        <v>15.0975</v>
      </c>
      <c r="I14" s="11">
        <f>2.475*'[2]ΣΥΣΤΑΣΗ ΤΡΟΦΙΜΩΝ'!H81</f>
        <v>0</v>
      </c>
      <c r="J14" s="11">
        <f>2.475*'[2]ΣΥΣΤΑΣΗ ΤΡΟΦΙΜΩΝ'!I81</f>
        <v>0</v>
      </c>
      <c r="K14" s="11">
        <f>2.475*'[2]ΣΥΣΤΑΣΗ ΤΡΟΦΙΜΩΝ'!J81</f>
        <v>171.5175</v>
      </c>
      <c r="L14" s="11">
        <f>2.475*'[2]ΣΥΣΤΑΣΗ ΤΡΟΦΙΜΩΝ'!K81</f>
        <v>113.85000000000001</v>
      </c>
      <c r="M14" s="11">
        <f>2.475*'[2]ΣΥΣΤΑΣΗ ΤΡΟΦΙΜΩΝ'!L81</f>
        <v>188.1</v>
      </c>
      <c r="N14" s="11">
        <f>2.475*'[2]ΣΥΣΤΑΣΗ ΤΡΟΦΙΜΩΝ'!M81</f>
        <v>86.625</v>
      </c>
      <c r="O14" s="11">
        <f>2.475*'[2]ΣΥΣΤΑΣΗ ΤΡΟΦΙΜΩΝ'!N81</f>
        <v>22.275000000000002</v>
      </c>
      <c r="P14" s="11">
        <f>2.475*'[2]ΣΥΣΤΑΣΗ ΤΡΟΦΙΜΩΝ'!O81</f>
        <v>0.7425</v>
      </c>
      <c r="Q14" s="11">
        <f>2.475*'[2]ΣΥΣΤΑΣΗ ΤΡΟΦΙΜΩΝ'!P81</f>
        <v>148.5</v>
      </c>
      <c r="R14" s="11">
        <f>2.475*'[2]ΣΥΣΤΑΣΗ ΤΡΟΦΙΜΩΝ'!Q81</f>
        <v>2524.5</v>
      </c>
      <c r="S14" s="11">
        <f>2.475*'[2]ΣΥΣΤΑΣΗ ΤΡΟΦΙΜΩΝ'!R81</f>
        <v>9.405</v>
      </c>
      <c r="T14" s="11">
        <f>2.475*'[2]ΣΥΣΤΑΣΗ ΤΡΟΦΙΜΩΝ'!S81</f>
        <v>1.7325</v>
      </c>
      <c r="U14" s="11">
        <f>2.475*'[2]ΣΥΣΤΑΣΗ ΤΡΟΦΙΜΩΝ'!T81</f>
        <v>0.96525</v>
      </c>
      <c r="V14" s="16">
        <f>2.475*'[2]ΣΥΣΤΑΣΗ ΤΡΟΦΙΜΩΝ'!U81</f>
        <v>19.8</v>
      </c>
    </row>
    <row r="15" spans="1:22" ht="14.25">
      <c r="A15" s="15" t="s">
        <v>19</v>
      </c>
      <c r="B15" s="11">
        <v>1000</v>
      </c>
      <c r="C15" s="11"/>
      <c r="D15" s="11">
        <v>1000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6"/>
    </row>
    <row r="16" spans="1:22" ht="14.25">
      <c r="A16" s="17" t="s">
        <v>2</v>
      </c>
      <c r="B16" s="11">
        <f aca="true" t="shared" si="0" ref="B16:V16">SUM(B5:B15)</f>
        <v>4599.5</v>
      </c>
      <c r="C16" s="11">
        <f t="shared" si="0"/>
        <v>15729.7</v>
      </c>
      <c r="D16" s="11">
        <f t="shared" si="0"/>
        <v>1360.56</v>
      </c>
      <c r="E16" s="11">
        <f t="shared" si="0"/>
        <v>1907.8574999999998</v>
      </c>
      <c r="F16" s="11">
        <f t="shared" si="0"/>
        <v>418.7575</v>
      </c>
      <c r="G16" s="11">
        <f t="shared" si="0"/>
        <v>718.88</v>
      </c>
      <c r="H16" s="11">
        <f t="shared" si="0"/>
        <v>168.0975</v>
      </c>
      <c r="I16" s="11">
        <f t="shared" si="0"/>
        <v>0</v>
      </c>
      <c r="J16" s="11">
        <f t="shared" si="0"/>
        <v>1494.34</v>
      </c>
      <c r="K16" s="11">
        <f t="shared" si="0"/>
        <v>413.51750000000004</v>
      </c>
      <c r="L16" s="11">
        <f t="shared" si="0"/>
        <v>7456.85</v>
      </c>
      <c r="M16" s="11">
        <f t="shared" si="0"/>
        <v>12317.1</v>
      </c>
      <c r="N16" s="11">
        <f t="shared" si="0"/>
        <v>4409.325</v>
      </c>
      <c r="O16" s="11">
        <f t="shared" si="0"/>
        <v>7330.974999999999</v>
      </c>
      <c r="P16" s="11">
        <f t="shared" si="0"/>
        <v>15.7425</v>
      </c>
      <c r="Q16" s="11">
        <f t="shared" si="0"/>
        <v>6348.5</v>
      </c>
      <c r="R16" s="11">
        <f t="shared" si="0"/>
        <v>10843.2</v>
      </c>
      <c r="S16" s="11">
        <f t="shared" si="0"/>
        <v>143.405</v>
      </c>
      <c r="T16" s="11">
        <f t="shared" si="0"/>
        <v>73.9725</v>
      </c>
      <c r="U16" s="11">
        <f t="shared" si="0"/>
        <v>19.20525</v>
      </c>
      <c r="V16" s="16">
        <f t="shared" si="0"/>
        <v>859.8</v>
      </c>
    </row>
    <row r="17" spans="1:22" ht="28.5">
      <c r="A17" s="17" t="s">
        <v>1</v>
      </c>
      <c r="B17" s="11">
        <v>100</v>
      </c>
      <c r="C17" s="11">
        <f aca="true" t="shared" si="1" ref="C17:V17">100*C16/$B$16</f>
        <v>341.98717251875206</v>
      </c>
      <c r="D17" s="11">
        <f t="shared" si="1"/>
        <v>29.580606587672573</v>
      </c>
      <c r="E17" s="11">
        <f t="shared" si="1"/>
        <v>41.47967170344602</v>
      </c>
      <c r="F17" s="11">
        <f t="shared" si="1"/>
        <v>9.104413523209045</v>
      </c>
      <c r="G17" s="11">
        <f t="shared" si="1"/>
        <v>15.629524948363953</v>
      </c>
      <c r="H17" s="11">
        <f t="shared" si="1"/>
        <v>3.6546907272529623</v>
      </c>
      <c r="I17" s="11">
        <f t="shared" si="1"/>
        <v>0</v>
      </c>
      <c r="J17" s="11">
        <f t="shared" si="1"/>
        <v>32.4891836069138</v>
      </c>
      <c r="K17" s="11">
        <f t="shared" si="1"/>
        <v>8.990488096532234</v>
      </c>
      <c r="L17" s="11">
        <f t="shared" si="1"/>
        <v>162.12305685400588</v>
      </c>
      <c r="M17" s="11">
        <f t="shared" si="1"/>
        <v>267.7921513207957</v>
      </c>
      <c r="N17" s="11">
        <f t="shared" si="1"/>
        <v>95.8653114468964</v>
      </c>
      <c r="O17" s="11">
        <f t="shared" si="1"/>
        <v>159.3863463419937</v>
      </c>
      <c r="P17" s="11">
        <f t="shared" si="1"/>
        <v>0.3422654636373519</v>
      </c>
      <c r="Q17" s="11">
        <f t="shared" si="1"/>
        <v>138.02587237743234</v>
      </c>
      <c r="R17" s="11">
        <f t="shared" si="1"/>
        <v>235.74736384389607</v>
      </c>
      <c r="S17" s="11">
        <f t="shared" si="1"/>
        <v>3.117838895532123</v>
      </c>
      <c r="T17" s="11">
        <f t="shared" si="1"/>
        <v>1.6082726383302532</v>
      </c>
      <c r="U17" s="11">
        <f t="shared" si="1"/>
        <v>0.4175508207413849</v>
      </c>
      <c r="V17" s="16">
        <f t="shared" si="1"/>
        <v>18.69333623219915</v>
      </c>
    </row>
    <row r="18" spans="1:22" ht="42.75">
      <c r="A18" s="18" t="s">
        <v>0</v>
      </c>
      <c r="B18" s="19">
        <v>130</v>
      </c>
      <c r="C18" s="19">
        <f aca="true" t="shared" si="2" ref="C18:V18">130*C17/100</f>
        <v>444.5833242743777</v>
      </c>
      <c r="D18" s="19">
        <f t="shared" si="2"/>
        <v>38.45478856397435</v>
      </c>
      <c r="E18" s="19">
        <f t="shared" si="2"/>
        <v>53.92357321447983</v>
      </c>
      <c r="F18" s="19">
        <f t="shared" si="2"/>
        <v>11.835737580171758</v>
      </c>
      <c r="G18" s="19">
        <f t="shared" si="2"/>
        <v>20.31838243287314</v>
      </c>
      <c r="H18" s="19">
        <f t="shared" si="2"/>
        <v>4.7510979454288504</v>
      </c>
      <c r="I18" s="19">
        <f t="shared" si="2"/>
        <v>0</v>
      </c>
      <c r="J18" s="19">
        <f t="shared" si="2"/>
        <v>42.235938688987936</v>
      </c>
      <c r="K18" s="19">
        <f t="shared" si="2"/>
        <v>11.687634525491903</v>
      </c>
      <c r="L18" s="19">
        <f t="shared" si="2"/>
        <v>210.75997391020763</v>
      </c>
      <c r="M18" s="19">
        <f t="shared" si="2"/>
        <v>348.1297967170344</v>
      </c>
      <c r="N18" s="19">
        <f t="shared" si="2"/>
        <v>124.62490488096532</v>
      </c>
      <c r="O18" s="19">
        <f t="shared" si="2"/>
        <v>207.20225024459177</v>
      </c>
      <c r="P18" s="19">
        <f t="shared" si="2"/>
        <v>0.4449451027285575</v>
      </c>
      <c r="Q18" s="19">
        <f t="shared" si="2"/>
        <v>179.43363409066205</v>
      </c>
      <c r="R18" s="19">
        <f t="shared" si="2"/>
        <v>306.4715729970649</v>
      </c>
      <c r="S18" s="19">
        <f t="shared" si="2"/>
        <v>4.05319056419176</v>
      </c>
      <c r="T18" s="19">
        <f t="shared" si="2"/>
        <v>2.090754429829329</v>
      </c>
      <c r="U18" s="19">
        <f t="shared" si="2"/>
        <v>0.5428160669638004</v>
      </c>
      <c r="V18" s="20">
        <f t="shared" si="2"/>
        <v>24.301337101858895</v>
      </c>
    </row>
    <row r="19" spans="24:47" ht="14.25"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2" spans="1:23" ht="45">
      <c r="A22" s="4"/>
      <c r="B22" s="5" t="s">
        <v>82</v>
      </c>
      <c r="C22" s="6" t="s">
        <v>83</v>
      </c>
      <c r="D22" s="6" t="s">
        <v>84</v>
      </c>
      <c r="E22" s="6" t="s">
        <v>18</v>
      </c>
      <c r="F22" s="6" t="s">
        <v>85</v>
      </c>
      <c r="G22" s="6" t="s">
        <v>86</v>
      </c>
      <c r="H22" s="6" t="s">
        <v>87</v>
      </c>
      <c r="I22" s="6" t="s">
        <v>88</v>
      </c>
      <c r="J22" s="6" t="s">
        <v>89</v>
      </c>
      <c r="K22" s="6" t="s">
        <v>90</v>
      </c>
      <c r="L22" s="6" t="s">
        <v>91</v>
      </c>
      <c r="M22" s="6" t="s">
        <v>92</v>
      </c>
      <c r="N22" s="6" t="s">
        <v>17</v>
      </c>
      <c r="O22" s="6" t="s">
        <v>16</v>
      </c>
      <c r="P22" s="6" t="s">
        <v>15</v>
      </c>
      <c r="Q22" s="6" t="s">
        <v>14</v>
      </c>
      <c r="R22" s="6" t="s">
        <v>13</v>
      </c>
      <c r="S22" s="6" t="s">
        <v>93</v>
      </c>
      <c r="T22" s="6" t="s">
        <v>94</v>
      </c>
      <c r="U22" s="7" t="s">
        <v>95</v>
      </c>
      <c r="V22" s="8"/>
      <c r="W22" s="8"/>
    </row>
    <row r="23" spans="1:21" ht="14.25">
      <c r="A23" s="12" t="s">
        <v>31</v>
      </c>
      <c r="B23" s="13">
        <f>20*'[2]ΣΥΣΤΑΣΗ ΤΡΟΦΙΜΩΝ'!V6</f>
        <v>0</v>
      </c>
      <c r="C23" s="13">
        <f>20*'[2]ΣΥΣΤΑΣΗ ΤΡΟΦΙΜΩΝ'!W6*0.8</f>
        <v>1.6</v>
      </c>
      <c r="D23" s="13">
        <f>20*'[2]ΣΥΣΤΑΣΗ ΤΡΟΦΙΜΩΝ'!X6*0.9</f>
        <v>0.54</v>
      </c>
      <c r="E23" s="13">
        <f>20*'[2]ΣΥΣΤΑΣΗ ΤΡΟΦΙΜΩΝ'!Y6</f>
        <v>0</v>
      </c>
      <c r="F23" s="13">
        <f>20*'[2]ΣΥΣΤΑΣΗ ΤΡΟΦΙΜΩΝ'!Z6*0.9</f>
        <v>12.6</v>
      </c>
      <c r="G23" s="13">
        <f>20*'[2]ΣΥΣΤΑΣΗ ΤΡΟΦΙΜΩΝ'!AA6*0.9</f>
        <v>2.7</v>
      </c>
      <c r="H23" s="13">
        <f>20*'[2]ΣΥΣΤΑΣΗ ΤΡΟΦΙΜΩΝ'!AB6</f>
        <v>0</v>
      </c>
      <c r="I23" s="13">
        <f>20*'[2]ΣΥΣΤΑΣΗ ΤΡΟΦΙΜΩΝ'!AC6*0.7</f>
        <v>434</v>
      </c>
      <c r="J23" s="13">
        <f>20*'[2]ΣΥΣΤΑΣΗ ΤΡΟΦΙΜΩΝ'!AD6</f>
        <v>0</v>
      </c>
      <c r="K23" s="13">
        <f>20*'[2]ΣΥΣΤΑΣΗ ΤΡΟΦΙΜΩΝ'!AE6</f>
        <v>0</v>
      </c>
      <c r="L23" s="13">
        <f>20*'[2]ΣΥΣΤΑΣΗ ΤΡΟΦΙΜΩΝ'!AF6</f>
        <v>0</v>
      </c>
      <c r="M23" s="13">
        <f>20*'[2]ΣΥΣΤΑΣΗ ΤΡΟΦΙΜΩΝ'!AG6</f>
        <v>6</v>
      </c>
      <c r="N23" s="13">
        <f>'[2]ΣΥΣΤΑΣΗ ΤΡΟΦΙΜΩΝ'!AH6</f>
        <v>3.501945525291829</v>
      </c>
      <c r="O23" s="13">
        <f>'[2]ΣΥΣΤΑΣΗ ΤΡΟΦΙΜΩΝ'!AI6</f>
        <v>12.784880489160644</v>
      </c>
      <c r="P23" s="13">
        <f>'[2]ΣΥΣΤΑΣΗ ΤΡΟΦΙΜΩΝ'!AJ6</f>
        <v>83.71317398554753</v>
      </c>
      <c r="Q23" s="13">
        <f>'[2]ΣΥΣΤΑΣΗ ΤΡΟΦΙΜΩΝ'!AK6</f>
        <v>0.500277932184547</v>
      </c>
      <c r="R23" s="13">
        <f>'[2]ΣΥΣΤΑΣΗ ΤΡΟΦΙΜΩΝ'!AL6</f>
        <v>1.556420233463035</v>
      </c>
      <c r="S23" s="13">
        <f>20*'[2]ΣΥΣΤΑΣΗ ΤΡΟΦΙΜΩΝ'!AM6</f>
        <v>4</v>
      </c>
      <c r="T23" s="13">
        <f>20*'[2]ΣΥΣΤΑΣΗ ΤΡΟΦΙΜΩΝ'!AN6</f>
        <v>2</v>
      </c>
      <c r="U23" s="14">
        <f>20*'[2]ΣΥΣΤΑΣΗ ΤΡΟΦΙΜΩΝ'!AO6</f>
        <v>12</v>
      </c>
    </row>
    <row r="24" spans="1:21" ht="14.25">
      <c r="A24" s="15" t="s">
        <v>30</v>
      </c>
      <c r="B24" s="11" t="str">
        <f>'[2]ΣΥΣΤΑΣΗ ΤΡΟΦΙΜΩΝ'!V27</f>
        <v>tr</v>
      </c>
      <c r="C24" s="11">
        <f>2*'[2]ΣΥΣΤΑΣΗ ΤΡΟΦΙΜΩΝ'!W27</f>
        <v>0</v>
      </c>
      <c r="D24" s="11">
        <f>2*'[2]ΣΥΣΤΑΣΗ ΤΡΟΦΙΜΩΝ'!X27</f>
        <v>0</v>
      </c>
      <c r="E24" s="11">
        <f>2*'[2]ΣΥΣΤΑΣΗ ΤΡΟΦΙΜΩΝ'!Y27</f>
        <v>0</v>
      </c>
      <c r="F24" s="11">
        <f>2*'[2]ΣΥΣΤΑΣΗ ΤΡΟΦΙΜΩΝ'!Z27</f>
        <v>0</v>
      </c>
      <c r="G24" s="11">
        <f>2*'[2]ΣΥΣΤΑΣΗ ΤΡΟΦΙΜΩΝ'!AA27</f>
        <v>0</v>
      </c>
      <c r="H24" s="11">
        <f>2*'[2]ΣΥΣΤΑΣΗ ΤΡΟΦΙΜΩΝ'!AB27</f>
        <v>0</v>
      </c>
      <c r="I24" s="11">
        <f>2*'[2]ΣΥΣΤΑΣΗ ΤΡΟΦΙΜΩΝ'!AC27</f>
        <v>0</v>
      </c>
      <c r="J24" s="11">
        <f>2*'[2]ΣΥΣΤΑΣΗ ΤΡΟΦΙΜΩΝ'!AD27</f>
        <v>0</v>
      </c>
      <c r="K24" s="11">
        <f>2*'[2]ΣΥΣΤΑΣΗ ΤΡΟΦΙΜΩΝ'!AE27</f>
        <v>0</v>
      </c>
      <c r="L24" s="11">
        <f>2*'[2]ΣΥΣΤΑΣΗ ΤΡΟΦΙΜΩΝ'!AF27</f>
        <v>0</v>
      </c>
      <c r="M24" s="11">
        <f>2*'[2]ΣΥΣΤΑΣΗ ΤΡΟΦΙΜΩΝ'!AG27</f>
        <v>0</v>
      </c>
      <c r="N24" s="11">
        <f>'[2]ΣΥΣΤΑΣΗ ΤΡΟΦΙΜΩΝ'!AH27</f>
        <v>0</v>
      </c>
      <c r="O24" s="11">
        <v>0</v>
      </c>
      <c r="P24" s="11">
        <f>'[2]ΣΥΣΤΑΣΗ ΤΡΟΦΙΜΩΝ'!AJ27</f>
        <v>100</v>
      </c>
      <c r="Q24" s="11">
        <f>'[2]ΣΥΣΤΑΣΗ ΤΡΟΦΙΜΩΝ'!AK27</f>
        <v>0</v>
      </c>
      <c r="R24" s="11">
        <f>'[2]ΣΥΣΤΑΣΗ ΤΡΟΦΙΜΩΝ'!AL27</f>
        <v>100</v>
      </c>
      <c r="S24" s="11">
        <f>2*'[2]ΣΥΣΤΑΣΗ ΤΡΟΦΙΜΩΝ'!AM27</f>
        <v>0</v>
      </c>
      <c r="T24" s="11">
        <f>2*'[2]ΣΥΣΤΑΣΗ ΤΡΟΦΙΜΩΝ'!AN27</f>
        <v>0</v>
      </c>
      <c r="U24" s="16">
        <f>2*'[2]ΣΥΣΤΑΣΗ ΤΡΟΦΙΜΩΝ'!AO27</f>
        <v>0</v>
      </c>
    </row>
    <row r="25" spans="1:21" ht="14.25">
      <c r="A25" s="15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6"/>
    </row>
    <row r="26" spans="1:21" ht="14.25">
      <c r="A26" s="15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6"/>
    </row>
    <row r="27" spans="1:21" ht="14.25">
      <c r="A27" s="15" t="s">
        <v>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6"/>
    </row>
    <row r="28" spans="1:21" ht="14.25">
      <c r="A28" s="15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6"/>
    </row>
    <row r="29" spans="1:21" ht="14.25">
      <c r="A29" s="15" t="s">
        <v>25</v>
      </c>
      <c r="B29" s="11" t="str">
        <f>'[2]ΣΥΣΤΑΣΗ ΤΡΟΦΙΜΩΝ'!V22</f>
        <v>n</v>
      </c>
      <c r="C29" s="11" t="str">
        <f>'[2]ΣΥΣΤΑΣΗ ΤΡΟΦΙΜΩΝ'!W22</f>
        <v>tr</v>
      </c>
      <c r="D29" s="11" t="str">
        <f>'[2]ΣΥΣΤΑΣΗ ΤΡΟΦΙΜΩΝ'!X22</f>
        <v>tr</v>
      </c>
      <c r="E29" s="11" t="str">
        <f>'[2]ΣΥΣΤΑΣΗ ΤΡΟΦΙΜΩΝ'!Y22</f>
        <v>n</v>
      </c>
      <c r="F29" s="11" t="str">
        <f>'[2]ΣΥΣΤΑΣΗ ΤΡΟΦΙΜΩΝ'!Z22</f>
        <v>tr</v>
      </c>
      <c r="G29" s="11" t="str">
        <f>'[2]ΣΥΣΤΑΣΗ ΤΡΟΦΙΜΩΝ'!AA22</f>
        <v>tr</v>
      </c>
      <c r="H29" s="11">
        <f>1.1*'[2]ΣΥΣΤΑΣΗ ΤΡΟΦΙΜΩΝ'!AB22</f>
        <v>0</v>
      </c>
      <c r="I29" s="11" t="str">
        <f>'[2]ΣΥΣΤΑΣΗ ΤΡΟΦΙΜΩΝ'!AC22</f>
        <v>tr</v>
      </c>
      <c r="J29" s="11">
        <f>1.1*'[2]ΣΥΣΤΑΣΗ ΤΡΟΦΙΜΩΝ'!AD22</f>
        <v>0</v>
      </c>
      <c r="K29" s="11">
        <f>1.1*'[2]ΣΥΣΤΑΣΗ ΤΡΟΦΙΜΩΝ'!AE22</f>
        <v>0</v>
      </c>
      <c r="L29" s="11">
        <f>1.1*'[2]ΣΥΣΤΑΣΗ ΤΡΟΦΙΜΩΝ'!AF22</f>
        <v>0</v>
      </c>
      <c r="M29" s="11">
        <f>1.1*'[2]ΣΥΣΤΑΣΗ ΤΡΟΦΙΜΩΝ'!AG22</f>
        <v>5.61</v>
      </c>
      <c r="N29" s="11">
        <f>'[2]ΣΥΣΤΑΣΗ ΤΡΟΦΙΜΩΝ'!AH22</f>
        <v>100.0111234705228</v>
      </c>
      <c r="O29" s="11">
        <v>0</v>
      </c>
      <c r="P29" s="11">
        <v>0</v>
      </c>
      <c r="Q29" s="11">
        <f>'[2]ΣΥΣΤΑΣΗ ΤΡΟΦΙΜΩΝ'!AK22</f>
        <v>14.015572858731923</v>
      </c>
      <c r="R29" s="11">
        <f>'[2]ΣΥΣΤΑΣΗ ΤΡΟΦΙΜΩΝ'!AL22</f>
        <v>0</v>
      </c>
      <c r="S29" s="11">
        <f>1.1*'[2]ΣΥΣΤΑΣΗ ΤΡΟΦΙΜΩΝ'!AM22</f>
        <v>15.400000000000002</v>
      </c>
      <c r="T29" s="11">
        <f>1.1*'[2]ΣΥΣΤΑΣΗ ΤΡΟΦΙΜΩΝ'!AN22</f>
        <v>76.67000000000002</v>
      </c>
      <c r="U29" s="16">
        <f>1.1*'[2]ΣΥΣΤΑΣΗ ΤΡΟΦΙΜΩΝ'!AO22</f>
        <v>12.32</v>
      </c>
    </row>
    <row r="30" spans="1:21" ht="14.25">
      <c r="A30" s="15" t="s">
        <v>23</v>
      </c>
      <c r="B30" s="11" t="str">
        <f>'[2]ΣΥΣΤΑΣΗ ΤΡΟΦΙΜΩΝ'!V111</f>
        <v>tr</v>
      </c>
      <c r="C30" s="11" t="str">
        <f>'[2]ΣΥΣΤΑΣΗ ΤΡΟΦΙΜΩΝ'!W111</f>
        <v>tr</v>
      </c>
      <c r="D30" s="11" t="str">
        <f>'[2]ΣΥΣΤΑΣΗ ΤΡΟΦΙΜΩΝ'!X111</f>
        <v>tr</v>
      </c>
      <c r="E30" s="11">
        <f>'[2]ΣΥΣΤΑΣΗ ΤΡΟΦΙΜΩΝ'!Y111</f>
        <v>0</v>
      </c>
      <c r="F30" s="11" t="str">
        <f>'[2]ΣΥΣΤΑΣΗ ΤΡΟΦΙΜΩΝ'!Z111</f>
        <v>tr</v>
      </c>
      <c r="G30" s="11" t="str">
        <f>'[2]ΣΥΣΤΑΣΗ ΤΡΟΦΙΜΩΝ'!AA111</f>
        <v>tr</v>
      </c>
      <c r="H30" s="11">
        <f>0.3*'[2]ΣΥΣΤΑΣΗ ΤΡΟΦΙΜΩΝ'!AB111</f>
        <v>0</v>
      </c>
      <c r="I30" s="11" t="str">
        <f>'[2]ΣΥΣΤΑΣΗ ΤΡΟΦΙΜΩΝ'!AC111</f>
        <v>tr</v>
      </c>
      <c r="J30" s="11">
        <f>0.3*'[2]ΣΥΣΤΑΣΗ ΤΡΟΦΙΜΩΝ'!AD111</f>
        <v>0</v>
      </c>
      <c r="K30" s="11">
        <f>0.3*'[2]ΣΥΣΤΑΣΗ ΤΡΟΦΙΜΩΝ'!AE111</f>
        <v>0</v>
      </c>
      <c r="L30" s="11">
        <f>0.3*'[2]ΣΥΣΤΑΣΗ ΤΡΟΦΙΜΩΝ'!AF111</f>
        <v>0</v>
      </c>
      <c r="M30" s="11" t="str">
        <f>'[2]ΣΥΣΤΑΣΗ ΤΡΟΦΙΜΩΝ'!AG111</f>
        <v>tr</v>
      </c>
      <c r="N30" s="11">
        <f>'[2]ΣΥΣΤΑΣΗ ΤΡΟΦΙΜΩΝ'!AH111</f>
        <v>0</v>
      </c>
      <c r="O30" s="11">
        <f>'[2]ΣΥΣΤΑΣΗ ΤΡΟΦΙΜΩΝ'!AI111</f>
        <v>12.093023255813954</v>
      </c>
      <c r="P30" s="11">
        <f>'[2]ΣΥΣΤΑΣΗ ΤΡΟΦΙΜΩΝ'!AJ111</f>
        <v>87.90697674418604</v>
      </c>
      <c r="Q30" s="11">
        <f>'[2]ΣΥΣΤΑΣΗ ΤΡΟΦΙΜΩΝ'!AK111</f>
        <v>0</v>
      </c>
      <c r="R30" s="11">
        <f>'[2]ΣΥΣΤΑΣΗ ΤΡΟΦΙΜΩΝ'!AL111</f>
        <v>0</v>
      </c>
      <c r="S30" s="11">
        <f>0.3*'[2]ΣΥΣΤΑΣΗ ΤΡΟΦΙΜΩΝ'!AM111</f>
        <v>0</v>
      </c>
      <c r="T30" s="11">
        <f>0.3*'[2]ΣΥΣΤΑΣΗ ΤΡΟΦΙΜΩΝ'!AN111</f>
        <v>0</v>
      </c>
      <c r="U30" s="16">
        <f>0.3*'[2]ΣΥΣΤΑΣΗ ΤΡΟΦΙΜΩΝ'!AO111</f>
        <v>0</v>
      </c>
    </row>
    <row r="31" spans="1:21" ht="14.25">
      <c r="A31" s="15" t="s">
        <v>22</v>
      </c>
      <c r="B31" s="11" t="str">
        <f>'[2]ΣΥΣΤΑΣΗ ΤΡΟΦΙΜΩΝ'!V77</f>
        <v>n</v>
      </c>
      <c r="C31" s="11">
        <f>10*'[2]ΣΥΣΤΑΣΗ ΤΡΟΦΙΜΩΝ'!W77</f>
        <v>9.3</v>
      </c>
      <c r="D31" s="11">
        <f>10*'[2]ΣΥΣΤΑΣΗ ΤΡΟΦΙΜΩΝ'!X77</f>
        <v>1.7000000000000002</v>
      </c>
      <c r="E31" s="11">
        <f>10*'[2]ΣΥΣΤΑΣΗ ΤΡΟΦΙΜΩΝ'!Y77</f>
        <v>60</v>
      </c>
      <c r="F31" s="11">
        <f>10*'[2]ΣΥΣΤΑΣΗ ΤΡΟΦΙΜΩΝ'!Z77</f>
        <v>50</v>
      </c>
      <c r="G31" s="11">
        <f>10*'[2]ΣΥΣΤΑΣΗ ΤΡΟΦΙΜΩΝ'!AA77</f>
        <v>7.5</v>
      </c>
      <c r="H31" s="11">
        <f>10*'[2]ΣΥΣΤΑΣΗ ΤΡΟΦΙΜΩΝ'!AB77</f>
        <v>0</v>
      </c>
      <c r="I31" s="11">
        <f>10*'[2]ΣΥΣΤΑΣΗ ΤΡΟΦΙΜΩΝ'!AC77</f>
        <v>970</v>
      </c>
      <c r="J31" s="11">
        <f>10*'[2]ΣΥΣΤΑΣΗ ΤΡΟΦΙΜΩΝ'!AD77</f>
        <v>0</v>
      </c>
      <c r="K31" s="11">
        <f>10*'[2]ΣΥΣΤΑΣΗ ΤΡΟΦΙΜΩΝ'!AE77</f>
        <v>0</v>
      </c>
      <c r="L31" s="11">
        <f>10*'[2]ΣΥΣΤΑΣΗ ΤΡΟΦΙΜΩΝ'!AF77</f>
        <v>0</v>
      </c>
      <c r="M31" s="11">
        <f>10*'[2]ΣΥΣΤΑΣΗ ΤΡΟΦΙΜΩΝ'!AG77</f>
        <v>25.299999999999997</v>
      </c>
      <c r="N31" s="11">
        <f>'[2]ΣΥΣΤΑΣΗ ΤΡΟΦΙΜΩΝ'!AH77</f>
        <v>1.5802675585284283</v>
      </c>
      <c r="O31" s="11">
        <f>'[2]ΣΥΣΤΑΣΗ ΤΡΟΦΙΜΩΝ'!AI77</f>
        <v>8.481605351170568</v>
      </c>
      <c r="P31" s="11">
        <f>'[2]ΣΥΣΤΑΣΗ ΤΡΟΦΙΜΩΝ'!AJ77</f>
        <v>48.71571906354515</v>
      </c>
      <c r="Q31" s="11">
        <f>'[2]ΣΥΣΤΑΣΗ ΤΡΟΦΙΜΩΝ'!AK77</f>
        <v>12.491638795986622</v>
      </c>
      <c r="R31" s="11">
        <f>'[2]ΣΥΣΤΑΣΗ ΤΡΟΦΙΜΩΝ'!AL77</f>
        <v>0.26755852842809363</v>
      </c>
      <c r="S31" s="11">
        <f>10*'[2]ΣΥΣΤΑΣΗ ΤΡΟΦΙΜΩΝ'!AM77</f>
        <v>83</v>
      </c>
      <c r="T31" s="11">
        <f>10*'[2]ΣΥΣΤΑΣΗ ΤΡΟΦΙΜΩΝ'!AN77</f>
        <v>217</v>
      </c>
      <c r="U31" s="16">
        <f>10*'[2]ΣΥΣΤΑΣΗ ΤΡΟΦΙΜΩΝ'!AO77</f>
        <v>255</v>
      </c>
    </row>
    <row r="32" spans="1:21" ht="14.25">
      <c r="A32" s="15" t="s">
        <v>21</v>
      </c>
      <c r="B32" s="11" t="str">
        <f>'[2]ΣΥΣΤΑΣΗ ΤΡΟΦΙΜΩΝ'!V81</f>
        <v>n</v>
      </c>
      <c r="C32" s="11">
        <f>2.475*'[2]ΣΥΣΤΑΣΗ ΤΡΟΦΙΜΩΝ'!W81</f>
        <v>0.297</v>
      </c>
      <c r="D32" s="11">
        <f>2.475*'[2]ΣΥΣΤΑΣΗ ΤΡΟΦΙΜΩΝ'!X81</f>
        <v>0.12375000000000001</v>
      </c>
      <c r="E32" s="11">
        <f>2.475*'[2]ΣΥΣΤΑΣΗ ΤΡΟΦΙΜΩΝ'!Y81</f>
        <v>29.700000000000003</v>
      </c>
      <c r="F32" s="11">
        <f>2.475*'[2]ΣΥΣΤΑΣΗ ΤΡΟΦΙΜΩΝ'!Z81</f>
        <v>1.485</v>
      </c>
      <c r="G32" s="11">
        <f>2.475*'[2]ΣΥΣΤΑΣΗ ΤΡΟΦΙΜΩΝ'!AA81</f>
        <v>0.61875</v>
      </c>
      <c r="H32" s="11">
        <f>2.475*'[2]ΣΥΣΤΑΣΗ ΤΡΟΦΙΜΩΝ'!AB81</f>
        <v>0</v>
      </c>
      <c r="I32" s="11">
        <f>2.475*'[2]ΣΥΣΤΑΣΗ ΤΡΟΦΙΜΩΝ'!AC81</f>
        <v>24.75</v>
      </c>
      <c r="J32" s="11">
        <f>2.475*'[2]ΣΥΣΤΑΣΗ ΤΡΟΦΙΜΩΝ'!AD81</f>
        <v>2.475</v>
      </c>
      <c r="K32" s="11">
        <f>2.475*'[2]ΣΥΣΤΑΣΗ ΤΡΟΦΙΜΩΝ'!AE81</f>
        <v>0</v>
      </c>
      <c r="L32" s="11">
        <f>2.475*'[2]ΣΥΣΤΑΣΗ ΤΡΟΦΙΜΩΝ'!AF81</f>
        <v>0</v>
      </c>
      <c r="M32" s="11" t="str">
        <f>'[2]ΣΥΣΤΑΣΗ ΤΡΟΦΙΜΩΝ'!AG81</f>
        <v>n</v>
      </c>
      <c r="N32" s="11">
        <f>'[2]ΣΥΣΤΑΣΗ ΤΡΟΦΙΜΩΝ'!AH81</f>
        <v>1.3235294117647058</v>
      </c>
      <c r="O32" s="11">
        <f>'[2]ΣΥΣΤΑΣΗ ΤΡΟΦΙΜΩΝ'!AI81</f>
        <v>3.088235294117647</v>
      </c>
      <c r="P32" s="11">
        <f>'[2]ΣΥΣΤΑΣΗ ΤΡΟΦΙΜΩΝ'!AJ81</f>
        <v>101.91176470588235</v>
      </c>
      <c r="Q32" s="11" t="s">
        <v>20</v>
      </c>
      <c r="R32" s="11">
        <f>'[2]ΣΥΣΤΑΣΗ ΤΡΟΦΙΜΩΝ'!AL81</f>
        <v>101.91176470588235</v>
      </c>
      <c r="S32" s="11" t="str">
        <f>'[2]ΣΥΣΤΑΣΗ ΤΡΟΦΙΜΩΝ'!AM81</f>
        <v>n</v>
      </c>
      <c r="T32" s="11" t="str">
        <f>'[2]ΣΥΣΤΑΣΗ ΤΡΟΦΙΜΩΝ'!AN81</f>
        <v>n</v>
      </c>
      <c r="U32" s="16" t="str">
        <f>'[2]ΣΥΣΤΑΣΗ ΤΡΟΦΙΜΩΝ'!AO81</f>
        <v>n</v>
      </c>
    </row>
    <row r="33" spans="1:21" ht="14.25">
      <c r="A33" s="15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6"/>
    </row>
    <row r="34" spans="1:21" ht="14.25">
      <c r="A34" s="17" t="s">
        <v>2</v>
      </c>
      <c r="B34" s="11">
        <f aca="true" t="shared" si="3" ref="B34:M34">SUM(B23:B33)</f>
        <v>0</v>
      </c>
      <c r="C34" s="11">
        <f t="shared" si="3"/>
        <v>11.197000000000001</v>
      </c>
      <c r="D34" s="11">
        <f t="shared" si="3"/>
        <v>2.36375</v>
      </c>
      <c r="E34" s="11">
        <f t="shared" si="3"/>
        <v>89.7</v>
      </c>
      <c r="F34" s="11">
        <f t="shared" si="3"/>
        <v>64.08500000000001</v>
      </c>
      <c r="G34" s="11">
        <f t="shared" si="3"/>
        <v>10.81875</v>
      </c>
      <c r="H34" s="11">
        <f t="shared" si="3"/>
        <v>0</v>
      </c>
      <c r="I34" s="11">
        <f t="shared" si="3"/>
        <v>1428.75</v>
      </c>
      <c r="J34" s="11">
        <f t="shared" si="3"/>
        <v>2.475</v>
      </c>
      <c r="K34" s="11">
        <f t="shared" si="3"/>
        <v>0</v>
      </c>
      <c r="L34" s="11">
        <f t="shared" si="3"/>
        <v>0</v>
      </c>
      <c r="M34" s="11">
        <f t="shared" si="3"/>
        <v>36.91</v>
      </c>
      <c r="N34" s="10">
        <f>9*G16*100/C16</f>
        <v>41.13187155508369</v>
      </c>
      <c r="O34" s="10">
        <f>4*F16*100/C16</f>
        <v>10.648836277869254</v>
      </c>
      <c r="P34" s="10">
        <f>4*E16*100/C16</f>
        <v>48.5160556145381</v>
      </c>
      <c r="Q34" s="11">
        <f>9*S34*100/C16</f>
        <v>5.858980145838763</v>
      </c>
      <c r="R34" s="11">
        <f>4*K16*100/C16</f>
        <v>10.515585166913548</v>
      </c>
      <c r="S34" s="11">
        <f>SUM(S23:S33)</f>
        <v>102.4</v>
      </c>
      <c r="T34" s="11">
        <f>SUM(T23:T33)</f>
        <v>295.67</v>
      </c>
      <c r="U34" s="16">
        <f>SUM(U23:U33)</f>
        <v>279.32</v>
      </c>
    </row>
    <row r="35" spans="1:21" ht="28.5">
      <c r="A35" s="17" t="s">
        <v>1</v>
      </c>
      <c r="B35" s="11">
        <f aca="true" t="shared" si="4" ref="B35:M35">100*B34/$B$16</f>
        <v>0</v>
      </c>
      <c r="C35" s="11">
        <f t="shared" si="4"/>
        <v>0.243439504293945</v>
      </c>
      <c r="D35" s="11">
        <f t="shared" si="4"/>
        <v>0.051391455592999236</v>
      </c>
      <c r="E35" s="11">
        <f t="shared" si="4"/>
        <v>1.950211979562996</v>
      </c>
      <c r="F35" s="11">
        <f t="shared" si="4"/>
        <v>1.3933036199586915</v>
      </c>
      <c r="G35" s="11">
        <f t="shared" si="4"/>
        <v>0.2352157843243831</v>
      </c>
      <c r="H35" s="11">
        <f t="shared" si="4"/>
        <v>0</v>
      </c>
      <c r="I35" s="11">
        <f t="shared" si="4"/>
        <v>31.06315903902598</v>
      </c>
      <c r="J35" s="11">
        <f t="shared" si="4"/>
        <v>0.053810196760517445</v>
      </c>
      <c r="K35" s="11">
        <f t="shared" si="4"/>
        <v>0</v>
      </c>
      <c r="L35" s="11">
        <f t="shared" si="4"/>
        <v>0</v>
      </c>
      <c r="M35" s="11">
        <f t="shared" si="4"/>
        <v>0.8024785302750298</v>
      </c>
      <c r="N35" s="11"/>
      <c r="O35" s="11"/>
      <c r="P35" s="11"/>
      <c r="Q35" s="11"/>
      <c r="R35" s="11"/>
      <c r="S35" s="11">
        <f>100*S34/$B$16</f>
        <v>2.2263289487987823</v>
      </c>
      <c r="T35" s="11">
        <f>100*T34/$B$16</f>
        <v>6.428307424720078</v>
      </c>
      <c r="U35" s="16">
        <f>100*U34/$B$16</f>
        <v>6.0728340036960535</v>
      </c>
    </row>
    <row r="36" spans="1:21" ht="42.75">
      <c r="A36" s="18" t="s">
        <v>0</v>
      </c>
      <c r="B36" s="19">
        <f aca="true" t="shared" si="5" ref="B36:M36">130*B35/100</f>
        <v>0</v>
      </c>
      <c r="C36" s="19">
        <f t="shared" si="5"/>
        <v>0.3164713555821285</v>
      </c>
      <c r="D36" s="19">
        <f t="shared" si="5"/>
        <v>0.066808892270899</v>
      </c>
      <c r="E36" s="19">
        <f t="shared" si="5"/>
        <v>2.535275573431895</v>
      </c>
      <c r="F36" s="19">
        <f t="shared" si="5"/>
        <v>1.8112947059462987</v>
      </c>
      <c r="G36" s="19">
        <f t="shared" si="5"/>
        <v>0.305780519621698</v>
      </c>
      <c r="H36" s="19">
        <f t="shared" si="5"/>
        <v>0</v>
      </c>
      <c r="I36" s="19">
        <f t="shared" si="5"/>
        <v>40.382106750733776</v>
      </c>
      <c r="J36" s="19">
        <f t="shared" si="5"/>
        <v>0.06995325578867267</v>
      </c>
      <c r="K36" s="19">
        <f t="shared" si="5"/>
        <v>0</v>
      </c>
      <c r="L36" s="19">
        <f t="shared" si="5"/>
        <v>0</v>
      </c>
      <c r="M36" s="19">
        <f t="shared" si="5"/>
        <v>1.0432220893575388</v>
      </c>
      <c r="N36" s="19"/>
      <c r="O36" s="19"/>
      <c r="P36" s="19"/>
      <c r="Q36" s="19"/>
      <c r="R36" s="19"/>
      <c r="S36" s="19">
        <f>130*S35/100</f>
        <v>2.894227633438417</v>
      </c>
      <c r="T36" s="19">
        <f>130*T35/100</f>
        <v>8.3567996521361</v>
      </c>
      <c r="U36" s="20">
        <f>130*U35/100</f>
        <v>7.89468420480487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4"/>
  <sheetViews>
    <sheetView view="pageLayout" zoomScale="70" zoomScaleNormal="70" zoomScalePageLayoutView="70" workbookViewId="0" topLeftCell="A31">
      <selection activeCell="B33" sqref="B33"/>
    </sheetView>
  </sheetViews>
  <sheetFormatPr defaultColWidth="9.140625" defaultRowHeight="15"/>
  <cols>
    <col min="1" max="1" width="24.8515625" style="2" customWidth="1"/>
    <col min="2" max="3" width="9.140625" style="1" customWidth="1"/>
    <col min="4" max="4" width="10.8515625" style="1" customWidth="1"/>
    <col min="5" max="5" width="16.7109375" style="1" customWidth="1"/>
    <col min="6" max="8" width="9.140625" style="1" customWidth="1"/>
    <col min="9" max="9" width="13.140625" style="1" customWidth="1"/>
    <col min="10" max="12" width="9.140625" style="1" customWidth="1"/>
    <col min="13" max="13" width="13.00390625" style="1" customWidth="1"/>
    <col min="14" max="14" width="11.8515625" style="1" customWidth="1"/>
    <col min="15" max="15" width="10.57421875" style="1" customWidth="1"/>
    <col min="16" max="16" width="13.28125" style="1" customWidth="1"/>
    <col min="17" max="17" width="10.140625" style="1" customWidth="1"/>
    <col min="18" max="18" width="10.8515625" style="1" customWidth="1"/>
    <col min="19" max="19" width="10.57421875" style="1" customWidth="1"/>
    <col min="20" max="21" width="9.140625" style="1" customWidth="1"/>
    <col min="22" max="22" width="11.00390625" style="1" customWidth="1"/>
    <col min="23" max="16384" width="9.140625" style="1" customWidth="1"/>
  </cols>
  <sheetData>
    <row r="1" spans="1:47" ht="18">
      <c r="A1" s="26" t="s">
        <v>117</v>
      </c>
      <c r="B1" s="26"/>
      <c r="C1" s="26"/>
      <c r="D1" s="26"/>
      <c r="AR1" s="3"/>
      <c r="AS1" s="3"/>
      <c r="AT1" s="3"/>
      <c r="AU1" s="3"/>
    </row>
    <row r="2" spans="1:4" ht="18">
      <c r="A2" s="26" t="s">
        <v>118</v>
      </c>
      <c r="B2" s="26"/>
      <c r="C2" s="26"/>
      <c r="D2" s="26"/>
    </row>
    <row r="4" spans="1:47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22" ht="14.25">
      <c r="A5" s="12" t="s">
        <v>12</v>
      </c>
      <c r="B5" s="13">
        <v>1000</v>
      </c>
      <c r="C5" s="13">
        <f>10*'[1]ΣΥΣΤΑΣΗ ΤΡΟΦΙΜΩΝ'!B6</f>
        <v>3410</v>
      </c>
      <c r="D5" s="13">
        <f>10*'[1]ΣΥΣΤΑΣΗ ΤΡΟΦΙΜΩΝ'!C6</f>
        <v>140</v>
      </c>
      <c r="E5" s="13">
        <f>10*'[1]ΣΥΣΤΑΣΗ ΤΡΟΦΙΜΩΝ'!D6</f>
        <v>753</v>
      </c>
      <c r="F5" s="13">
        <f>10*'[1]ΣΥΣΤΑΣΗ ΤΡΟΦΙΜΩΝ'!E6</f>
        <v>115</v>
      </c>
      <c r="G5" s="13">
        <f>10*'[1]ΣΥΣΤΑΣΗ ΤΡΟΦΙΜΩΝ'!F6</f>
        <v>14</v>
      </c>
      <c r="H5" s="13">
        <f>10*'[1]ΣΥΣΤΑΣΗ ΤΡΟΦΙΜΩΝ'!G6</f>
        <v>37</v>
      </c>
      <c r="I5" s="13">
        <f>10*'[1]ΣΥΣΤΑΣΗ ΤΡΟΦΙΜΩΝ'!H6</f>
        <v>0</v>
      </c>
      <c r="J5" s="13">
        <f>10*'[1]ΣΥΣΤΑΣΗ ΤΡΟΦΙΜΩΝ'!I6</f>
        <v>739</v>
      </c>
      <c r="K5" s="13">
        <f>10*'[1]ΣΥΣΤΑΣΗ ΤΡΟΦΙΜΩΝ'!J6</f>
        <v>14</v>
      </c>
      <c r="L5" s="13">
        <f>10*'[1]ΣΥΣΤΑΣΗ ΤΡΟΦΙΜΩΝ'!K6</f>
        <v>150</v>
      </c>
      <c r="M5" s="13">
        <f>10*'[1]ΣΥΣΤΑΣΗ ΤΡΟΦΙΜΩΝ'!L6</f>
        <v>1200</v>
      </c>
      <c r="N5" s="13">
        <f>10*'[1]ΣΥΣΤΑΣΗ ΤΡΟΦΙΜΩΝ'!M6</f>
        <v>310</v>
      </c>
      <c r="O5" s="13" t="s">
        <v>20</v>
      </c>
      <c r="P5" s="13" t="s">
        <v>20</v>
      </c>
      <c r="Q5" s="13">
        <f>10*'[1]ΣΥΣΤΑΣΗ ΤΡΟΦΙΜΩΝ'!P6</f>
        <v>30</v>
      </c>
      <c r="R5" s="13">
        <f>10*'[1]ΣΥΣΤΑΣΗ ΤΡΟΦΙΜΩΝ'!Q6</f>
        <v>1300</v>
      </c>
      <c r="S5" s="13">
        <f>10*'[1]ΣΥΣΤΑΣΗ ΤΡΟΦΙΜΩΝ'!R6</f>
        <v>15</v>
      </c>
      <c r="T5" s="13">
        <f>10*'[1]ΣΥΣΤΑΣΗ ΤΡΟΦΙΜΩΝ'!S6</f>
        <v>9</v>
      </c>
      <c r="U5" s="13">
        <f>10*'[1]ΣΥΣΤΑΣΗ ΤΡΟΦΙΜΩΝ'!T6</f>
        <v>1.7999999999999998</v>
      </c>
      <c r="V5" s="14">
        <f>10*'[1]ΣΥΣΤΑΣΗ ΤΡΟΦΙΜΩΝ'!U6</f>
        <v>420</v>
      </c>
    </row>
    <row r="6" spans="1:22" ht="14.25">
      <c r="A6" s="15" t="s">
        <v>11</v>
      </c>
      <c r="B6" s="11">
        <v>5</v>
      </c>
      <c r="C6" s="11">
        <f>0.05*'[1]ΣΥΣΤΑΣΗ ΤΡΟΦΙΜΩΝ'!B111</f>
        <v>8.15</v>
      </c>
      <c r="D6" s="11">
        <f>0.05*'[1]ΣΥΣΤΑΣΗ ΤΡΟΦΙΜΩΝ'!C111</f>
        <v>0.315</v>
      </c>
      <c r="E6" s="11">
        <f>0.05*'[1]ΣΥΣΤΑΣΗ ΤΡΟΦΙΜΩΝ'!D111</f>
        <v>1.89</v>
      </c>
      <c r="F6" s="11">
        <f>0.05*'[1]ΣΥΣΤΑΣΗ ΤΡΟΦΙΜΩΝ'!E111</f>
        <v>0.26</v>
      </c>
      <c r="G6" s="11" t="str">
        <f>'[1]ΣΥΣΤΑΣΗ ΤΡΟΦΙΜΩΝ'!F111</f>
        <v>tr</v>
      </c>
      <c r="H6" s="11">
        <f>0.05*'[1]ΣΥΣΤΑΣΗ ΤΡΟΦΙΜΩΝ'!G111</f>
        <v>0</v>
      </c>
      <c r="I6" s="11">
        <f>0.05*'[1]ΣΥΣΤΑΣΗ ΤΡΟΦΙΜΩΝ'!H111</f>
        <v>0</v>
      </c>
      <c r="J6" s="11">
        <f>0.05*'[1]ΣΥΣΤΑΣΗ ΤΡΟΦΙΜΩΝ'!I111</f>
        <v>1.89</v>
      </c>
      <c r="K6" s="11" t="str">
        <f>'[1]ΣΥΣΤΑΣΗ ΤΡΟΦΙΜΩΝ'!J111</f>
        <v>tr</v>
      </c>
      <c r="L6" s="11">
        <f>0.05*'[1]ΣΥΣΤΑΣΗ ΤΡΟΦΙΜΩΝ'!K111</f>
        <v>56.5</v>
      </c>
      <c r="M6" s="11">
        <f>0.05*'[1]ΣΥΣΤΑΣΗ ΤΡΟΦΙΜΩΝ'!L111</f>
        <v>421.5</v>
      </c>
      <c r="N6" s="11">
        <f>0.05*'[1]ΣΥΣΤΑΣΗ ΤΡΟΦΙΜΩΝ'!M111</f>
        <v>0.45</v>
      </c>
      <c r="O6" s="11">
        <f>0.05*'[1]ΣΥΣΤΑΣΗ ΤΡΟΦΙΜΩΝ'!N111</f>
        <v>1.4500000000000002</v>
      </c>
      <c r="P6" s="11" t="str">
        <f>'[1]ΣΥΣΤΑΣΗ ΤΡΟΦΙΜΩΝ'!O111</f>
        <v>tr</v>
      </c>
      <c r="Q6" s="11">
        <f>0.05*'[1]ΣΥΣΤΑΣΗ ΤΡΟΦΙΜΩΝ'!P111</f>
        <v>590</v>
      </c>
      <c r="R6" s="11">
        <f>0.05*'[1]ΣΥΣΤΑΣΗ ΤΡΟΦΙΜΩΝ'!Q111</f>
        <v>2.45</v>
      </c>
      <c r="S6" s="11" t="str">
        <f>'[1]ΣΥΣΤΑΣΗ ΤΡΟΦΙΜΩΝ'!R111</f>
        <v>tr</v>
      </c>
      <c r="T6" s="11">
        <f>0.05*'[1]ΣΥΣΤΑΣΗ ΤΡΟΦΙΜΩΝ'!S111</f>
        <v>0.13999999999999999</v>
      </c>
      <c r="U6" s="11" t="str">
        <f>'[1]ΣΥΣΤΑΣΗ ΤΡΟΦΙΜΩΝ'!T111</f>
        <v>tr</v>
      </c>
      <c r="V6" s="16" t="str">
        <f>'[1]ΣΥΣΤΑΣΗ ΤΡΟΦΙΜΩΝ'!U111</f>
        <v>tr</v>
      </c>
    </row>
    <row r="7" spans="1:22" ht="14.25">
      <c r="A7" s="15" t="s">
        <v>10</v>
      </c>
      <c r="B7" s="11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6"/>
    </row>
    <row r="8" spans="1:22" ht="14.25">
      <c r="A8" s="15" t="s">
        <v>9</v>
      </c>
      <c r="B8" s="11">
        <v>15</v>
      </c>
      <c r="C8" s="11">
        <f>0.15*'[1]ΣΥΣΤΑΣΗ ΤΡΟΦΙΜΩΝ'!B27</f>
        <v>59.099999999999994</v>
      </c>
      <c r="D8" s="11" t="str">
        <f>'[1]ΣΥΣΤΑΣΗ ΤΡΟΦΙΜΩΝ'!C27</f>
        <v>tr</v>
      </c>
      <c r="E8" s="11">
        <f>0.15*'[1]ΣΥΣΤΑΣΗ ΤΡΟΦΙΜΩΝ'!D27</f>
        <v>15.75</v>
      </c>
      <c r="F8" s="11" t="str">
        <f>'[1]ΣΥΣΤΑΣΗ ΤΡΟΦΙΜΩΝ'!E27</f>
        <v>tr</v>
      </c>
      <c r="G8" s="11">
        <f>0.15*'[1]ΣΥΣΤΑΣΗ ΤΡΟΦΙΜΩΝ'!F27</f>
        <v>0</v>
      </c>
      <c r="H8" s="11">
        <f>0.15*'[1]ΣΥΣΤΑΣΗ ΤΡΟΦΙΜΩΝ'!G27</f>
        <v>0</v>
      </c>
      <c r="I8" s="11">
        <f>0.15*'[1]ΣΥΣΤΑΣΗ ΤΡΟΦΙΜΩΝ'!H27</f>
        <v>0</v>
      </c>
      <c r="J8" s="11">
        <f>0.15*'[1]ΣΥΣΤΑΣΗ ΤΡΟΦΙΜΩΝ'!I27</f>
        <v>0</v>
      </c>
      <c r="K8" s="11">
        <f>0.15*'[1]ΣΥΣΤΑΣΗ ΤΡΟΦΙΜΩΝ'!J27</f>
        <v>15.75</v>
      </c>
      <c r="L8" s="11">
        <f>0.15*'[1]ΣΥΣΤΑΣΗ ΤΡΟΦΙΜΩΝ'!K27</f>
        <v>0.3</v>
      </c>
      <c r="M8" s="11" t="str">
        <f>'[1]ΣΥΣΤΑΣΗ ΤΡΟΦΙΜΩΝ'!L27</f>
        <v>tr</v>
      </c>
      <c r="N8" s="11" t="str">
        <f>'[1]ΣΥΣΤΑΣΗ ΤΡΟΦΙΜΩΝ'!M27</f>
        <v>tr</v>
      </c>
      <c r="O8" s="11" t="s">
        <v>20</v>
      </c>
      <c r="P8" s="11" t="s">
        <v>20</v>
      </c>
      <c r="Q8" s="11" t="str">
        <f>'[1]ΣΥΣΤΑΣΗ ΤΡΟΦΙΜΩΝ'!P27</f>
        <v>tr</v>
      </c>
      <c r="R8" s="11">
        <f>0.15*'[1]ΣΥΣΤΑΣΗ ΤΡΟΦΙΜΩΝ'!Q27</f>
        <v>0.3</v>
      </c>
      <c r="S8" s="11" t="str">
        <f>'[1]ΣΥΣΤΑΣΗ ΤΡΟΦΙΜΩΝ'!R27</f>
        <v>tr</v>
      </c>
      <c r="T8" s="11">
        <f>0.15*'[1]ΣΥΣΤΑΣΗ ΤΡΟΦΙΜΩΝ'!S27</f>
        <v>0.03</v>
      </c>
      <c r="U8" s="11">
        <f>0.15*'[1]ΣΥΣΤΑΣΗ ΤΡΟΦΙΜΩΝ'!T27</f>
        <v>0.003</v>
      </c>
      <c r="V8" s="16" t="str">
        <f>'[1]ΣΥΣΤΑΣΗ ΤΡΟΦΙΜΩΝ'!U27</f>
        <v>tr</v>
      </c>
    </row>
    <row r="9" spans="1:22" ht="14.25">
      <c r="A9" s="15" t="s">
        <v>8</v>
      </c>
      <c r="B9" s="11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3600</v>
      </c>
      <c r="P9" s="11"/>
      <c r="Q9" s="11">
        <v>2400</v>
      </c>
      <c r="R9" s="11"/>
      <c r="S9" s="11"/>
      <c r="T9" s="11"/>
      <c r="U9" s="11"/>
      <c r="V9" s="16"/>
    </row>
    <row r="10" spans="1:22" ht="14.25">
      <c r="A10" s="15" t="s">
        <v>7</v>
      </c>
      <c r="B10" s="11">
        <v>600</v>
      </c>
      <c r="C10" s="11"/>
      <c r="D10" s="11">
        <v>600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6"/>
    </row>
    <row r="11" spans="1:22" ht="14.25">
      <c r="A11" s="15" t="s">
        <v>6</v>
      </c>
      <c r="B11" s="11">
        <v>250</v>
      </c>
      <c r="C11" s="11">
        <f>2.5*'[1]ΣΥΣΤΑΣΗ ΤΡΟΦΙΜΩΝ'!B86</f>
        <v>1517.5</v>
      </c>
      <c r="D11" s="11">
        <f>2.5*'[1]ΣΥΣΤΑΣΗ ΤΡΟΦΙΜΩΝ'!C86</f>
        <v>7.75</v>
      </c>
      <c r="E11" s="11">
        <f>2.5*'[1]ΣΥΣΤΑΣΗ ΤΡΟΦΙΜΩΝ'!D86</f>
        <v>2.25</v>
      </c>
      <c r="F11" s="11">
        <f>2.5*'[1]ΣΥΣΤΑΣΗ ΤΡΟΦΙΜΩΝ'!E86</f>
        <v>46.25</v>
      </c>
      <c r="G11" s="11">
        <f>2.5*'[1]ΣΥΣΤΑΣΗ ΤΡΟΦΙΜΩΝ'!F86</f>
        <v>147.25</v>
      </c>
      <c r="H11" s="11">
        <f>2.5*'[1]ΣΥΣΤΑΣΗ ΤΡΟΦΙΜΩΝ'!G86</f>
        <v>8.75</v>
      </c>
      <c r="I11" s="11">
        <f>2.5*'[1]ΣΥΣΤΑΣΗ ΤΡΟΦΙΜΩΝ'!H86</f>
        <v>0</v>
      </c>
      <c r="J11" s="11">
        <f>2.5*'[1]ΣΥΣΤΑΣΗ ΤΡΟΦΙΜΩΝ'!I86</f>
        <v>1.25</v>
      </c>
      <c r="K11" s="11">
        <f>2.5*'[1]ΣΥΣΤΑΣΗ ΤΡΟΦΙΜΩΝ'!J86</f>
        <v>1</v>
      </c>
      <c r="L11" s="11">
        <f>2.5*'[1]ΣΥΣΤΑΣΗ ΤΡΟΦΙΜΩΝ'!K86</f>
        <v>1700</v>
      </c>
      <c r="M11" s="11">
        <f>2.5*'[1]ΣΥΣΤΑΣΗ ΤΡΟΦΙΜΩΝ'!L86</f>
        <v>1825</v>
      </c>
      <c r="N11" s="11">
        <f>2.5*'[1]ΣΥΣΤΑΣΗ ΤΡΟΦΙΜΩΝ'!M86</f>
        <v>950</v>
      </c>
      <c r="O11" s="11">
        <f>2.5*'[1]ΣΥΣΤΑΣΗ ΤΡΟΦΙΜΩΝ'!N86</f>
        <v>25</v>
      </c>
      <c r="P11" s="11">
        <f>2.5*'[1]ΣΥΣΤΑΣΗ ΤΡΟΦΙΜΩΝ'!O86</f>
        <v>3.75</v>
      </c>
      <c r="Q11" s="11">
        <f>2.5*'[1]ΣΥΣΤΑΣΗ ΤΡΟΦΙΜΩΝ'!P86</f>
        <v>50</v>
      </c>
      <c r="R11" s="11">
        <f>2.5*'[1]ΣΥΣΤΑΣΗ ΤΡΟΦΙΜΩΝ'!Q86</f>
        <v>1450</v>
      </c>
      <c r="S11" s="11">
        <f>2.5*'[1]ΣΥΣΤΑΣΗ ΤΡΟΦΙΜΩΝ'!R86</f>
        <v>26.5</v>
      </c>
      <c r="T11" s="11">
        <f>2.5*'[1]ΣΥΣΤΑΣΗ ΤΡΟΦΙΜΩΝ'!S86</f>
        <v>13.5</v>
      </c>
      <c r="U11" s="11">
        <f>2.5*'[1]ΣΥΣΤΑΣΗ ΤΡΟΦΙΜΩΝ'!T86</f>
        <v>3.7</v>
      </c>
      <c r="V11" s="16" t="str">
        <f>'[1]ΣΥΣΤΑΣΗ ΤΡΟΦΙΜΩΝ'!U86</f>
        <v>n</v>
      </c>
    </row>
    <row r="12" spans="1:22" ht="14.25">
      <c r="A12" s="15" t="s">
        <v>5</v>
      </c>
      <c r="B12" s="11">
        <v>200</v>
      </c>
      <c r="C12" s="11">
        <f>2*'[1]ΣΥΣΤΑΣΗ ΤΡΟΦΙΜΩΝ'!B27</f>
        <v>788</v>
      </c>
      <c r="D12" s="11" t="str">
        <f>'[1]ΣΥΣΤΑΣΗ ΤΡΟΦΙΜΩΝ'!C27</f>
        <v>tr</v>
      </c>
      <c r="E12" s="11">
        <f>2*'[1]ΣΥΣΤΑΣΗ ΤΡΟΦΙΜΩΝ'!D27</f>
        <v>210</v>
      </c>
      <c r="F12" s="11" t="str">
        <f>'[1]ΣΥΣΤΑΣΗ ΤΡΟΦΙΜΩΝ'!E27</f>
        <v>tr</v>
      </c>
      <c r="G12" s="11">
        <f>2*'[1]ΣΥΣΤΑΣΗ ΤΡΟΦΙΜΩΝ'!F27</f>
        <v>0</v>
      </c>
      <c r="H12" s="11">
        <f>2*'[1]ΣΥΣΤΑΣΗ ΤΡΟΦΙΜΩΝ'!G27</f>
        <v>0</v>
      </c>
      <c r="I12" s="11">
        <f>2*'[1]ΣΥΣΤΑΣΗ ΤΡΟΦΙΜΩΝ'!H27</f>
        <v>0</v>
      </c>
      <c r="J12" s="11">
        <f>2*'[1]ΣΥΣΤΑΣΗ ΤΡΟΦΙΜΩΝ'!I27</f>
        <v>0</v>
      </c>
      <c r="K12" s="11">
        <f>2*'[1]ΣΥΣΤΑΣΗ ΤΡΟΦΙΜΩΝ'!J27</f>
        <v>210</v>
      </c>
      <c r="L12" s="11">
        <f>2*'[1]ΣΥΣΤΑΣΗ ΤΡΟΦΙΜΩΝ'!K27</f>
        <v>4</v>
      </c>
      <c r="M12" s="11" t="str">
        <f>'[1]ΣΥΣΤΑΣΗ ΤΡΟΦΙΜΩΝ'!L27</f>
        <v>tr</v>
      </c>
      <c r="N12" s="11" t="str">
        <f>'[1]ΣΥΣΤΑΣΗ ΤΡΟΦΙΜΩΝ'!M27</f>
        <v>tr</v>
      </c>
      <c r="O12" s="11" t="s">
        <v>20</v>
      </c>
      <c r="P12" s="11" t="s">
        <v>20</v>
      </c>
      <c r="Q12" s="11" t="str">
        <f>'[1]ΣΥΣΤΑΣΗ ΤΡΟΦΙΜΩΝ'!P27</f>
        <v>tr</v>
      </c>
      <c r="R12" s="11">
        <f>2*'[1]ΣΥΣΤΑΣΗ ΤΡΟΦΙΜΩΝ'!Q27</f>
        <v>4</v>
      </c>
      <c r="S12" s="11" t="str">
        <f>'[1]ΣΥΣΤΑΣΗ ΤΡΟΦΙΜΩΝ'!R27</f>
        <v>tr</v>
      </c>
      <c r="T12" s="11">
        <f>2*'[1]ΣΥΣΤΑΣΗ ΤΡΟΦΙΜΩΝ'!S27</f>
        <v>0.4</v>
      </c>
      <c r="U12" s="11">
        <f>2*'[1]ΣΥΣΤΑΣΗ ΤΡΟΦΙΜΩΝ'!T27</f>
        <v>0.04</v>
      </c>
      <c r="V12" s="16" t="str">
        <f>'[1]ΣΥΣΤΑΣΗ ΤΡΟΦΙΜΩΝ'!U27</f>
        <v>tr</v>
      </c>
    </row>
    <row r="13" spans="1:22" ht="14.25">
      <c r="A13" s="15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6"/>
    </row>
    <row r="14" spans="1:22" ht="14.25">
      <c r="A14" s="15" t="s">
        <v>3</v>
      </c>
      <c r="B14" s="11">
        <v>100</v>
      </c>
      <c r="C14" s="11">
        <f>'[1]ΣΥΣΤΑΣΗ ΤΡΟΦΙΜΩΝ'!B87</f>
        <v>258</v>
      </c>
      <c r="D14" s="11">
        <f>'[1]ΣΥΣΤΑΣΗ ΤΡΟΦΙΜΩΝ'!C87</f>
        <v>33.9</v>
      </c>
      <c r="E14" s="11">
        <f>'[1]ΣΥΣΤΑΣΗ ΤΡΟΦΙΜΩΝ'!D87</f>
        <v>64</v>
      </c>
      <c r="F14" s="11">
        <f>'[1]ΣΥΣΤΑΣΗ ΤΡΟΦΙΜΩΝ'!E87</f>
        <v>0.9</v>
      </c>
      <c r="G14" s="11">
        <f>'[1]ΣΥΣΤΑΣΗ ΤΡΟΦΙΜΩΝ'!F87</f>
        <v>0.1</v>
      </c>
      <c r="H14" s="11">
        <f>'[1]ΣΥΣΤΑΣΗ ΤΡΟΦΙΜΩΝ'!G87</f>
        <v>0.1</v>
      </c>
      <c r="I14" s="11" t="s">
        <v>20</v>
      </c>
      <c r="J14" s="11" t="s">
        <v>20</v>
      </c>
      <c r="K14" s="11" t="s">
        <v>20</v>
      </c>
      <c r="L14" s="11">
        <f>'[1]ΣΥΣΤΑΣΗ ΤΡΟΦΙΜΩΝ'!K87</f>
        <v>55</v>
      </c>
      <c r="M14" s="11" t="s">
        <v>20</v>
      </c>
      <c r="N14" s="11" t="s">
        <v>20</v>
      </c>
      <c r="O14" s="11" t="s">
        <v>20</v>
      </c>
      <c r="P14" s="11" t="s">
        <v>20</v>
      </c>
      <c r="Q14" s="11" t="s">
        <v>20</v>
      </c>
      <c r="R14" s="11" t="s">
        <v>20</v>
      </c>
      <c r="S14" s="11">
        <f>'[1]ΣΥΣΤΑΣΗ ΤΡΟΦΙΜΩΝ'!R87</f>
        <v>6.6</v>
      </c>
      <c r="T14" s="11" t="s">
        <v>20</v>
      </c>
      <c r="U14" s="11" t="s">
        <v>20</v>
      </c>
      <c r="V14" s="16" t="s">
        <v>20</v>
      </c>
    </row>
    <row r="15" spans="1:22" ht="14.25">
      <c r="A15" s="17" t="s">
        <v>2</v>
      </c>
      <c r="B15" s="11">
        <f aca="true" t="shared" si="0" ref="B15:V15">SUM(B5:B14)</f>
        <v>2181</v>
      </c>
      <c r="C15" s="11">
        <f t="shared" si="0"/>
        <v>6040.75</v>
      </c>
      <c r="D15" s="11">
        <f t="shared" si="0"/>
        <v>781.965</v>
      </c>
      <c r="E15" s="11">
        <f t="shared" si="0"/>
        <v>1046.8899999999999</v>
      </c>
      <c r="F15" s="11">
        <f t="shared" si="0"/>
        <v>162.41</v>
      </c>
      <c r="G15" s="11">
        <f t="shared" si="0"/>
        <v>161.35</v>
      </c>
      <c r="H15" s="11">
        <f t="shared" si="0"/>
        <v>45.85</v>
      </c>
      <c r="I15" s="11">
        <f t="shared" si="0"/>
        <v>0</v>
      </c>
      <c r="J15" s="11">
        <f t="shared" si="0"/>
        <v>742.14</v>
      </c>
      <c r="K15" s="11">
        <f t="shared" si="0"/>
        <v>240.75</v>
      </c>
      <c r="L15" s="11">
        <f t="shared" si="0"/>
        <v>1965.8</v>
      </c>
      <c r="M15" s="11">
        <f t="shared" si="0"/>
        <v>3446.5</v>
      </c>
      <c r="N15" s="11">
        <f t="shared" si="0"/>
        <v>1260.45</v>
      </c>
      <c r="O15" s="11">
        <f t="shared" si="0"/>
        <v>3626.45</v>
      </c>
      <c r="P15" s="11">
        <f t="shared" si="0"/>
        <v>3.75</v>
      </c>
      <c r="Q15" s="11">
        <f t="shared" si="0"/>
        <v>3070</v>
      </c>
      <c r="R15" s="11">
        <f t="shared" si="0"/>
        <v>2756.75</v>
      </c>
      <c r="S15" s="11">
        <f t="shared" si="0"/>
        <v>48.1</v>
      </c>
      <c r="T15" s="11">
        <f t="shared" si="0"/>
        <v>23.07</v>
      </c>
      <c r="U15" s="11">
        <f t="shared" si="0"/>
        <v>5.543</v>
      </c>
      <c r="V15" s="16">
        <f t="shared" si="0"/>
        <v>420</v>
      </c>
    </row>
    <row r="16" spans="1:22" ht="28.5">
      <c r="A16" s="17" t="s">
        <v>1</v>
      </c>
      <c r="B16" s="11">
        <v>100</v>
      </c>
      <c r="C16" s="11">
        <f aca="true" t="shared" si="1" ref="C16:V16">100*C15/$B$15</f>
        <v>276.97157267308575</v>
      </c>
      <c r="D16" s="11">
        <f t="shared" si="1"/>
        <v>35.853507565337004</v>
      </c>
      <c r="E16" s="11">
        <f t="shared" si="1"/>
        <v>48.0004585052728</v>
      </c>
      <c r="F16" s="11">
        <f t="shared" si="1"/>
        <v>7.44658413571756</v>
      </c>
      <c r="G16" s="11">
        <f t="shared" si="1"/>
        <v>7.397982576799633</v>
      </c>
      <c r="H16" s="11">
        <f t="shared" si="1"/>
        <v>2.102246675836772</v>
      </c>
      <c r="I16" s="11">
        <f t="shared" si="1"/>
        <v>0</v>
      </c>
      <c r="J16" s="11">
        <f t="shared" si="1"/>
        <v>34.02751031636864</v>
      </c>
      <c r="K16" s="11">
        <f t="shared" si="1"/>
        <v>11.038514442916094</v>
      </c>
      <c r="L16" s="11">
        <f t="shared" si="1"/>
        <v>90.13296652911508</v>
      </c>
      <c r="M16" s="11">
        <f t="shared" si="1"/>
        <v>158.02384227418617</v>
      </c>
      <c r="N16" s="11">
        <f t="shared" si="1"/>
        <v>57.79229711141678</v>
      </c>
      <c r="O16" s="11">
        <f t="shared" si="1"/>
        <v>166.27464465841356</v>
      </c>
      <c r="P16" s="11">
        <f t="shared" si="1"/>
        <v>0.171939477303989</v>
      </c>
      <c r="Q16" s="11">
        <f t="shared" si="1"/>
        <v>140.76111875286566</v>
      </c>
      <c r="R16" s="11">
        <f t="shared" si="1"/>
        <v>126.39844108207244</v>
      </c>
      <c r="S16" s="11">
        <f t="shared" si="1"/>
        <v>2.2054103622191654</v>
      </c>
      <c r="T16" s="11">
        <f t="shared" si="1"/>
        <v>1.0577716643741404</v>
      </c>
      <c r="U16" s="11">
        <f t="shared" si="1"/>
        <v>0.2541494727189363</v>
      </c>
      <c r="V16" s="16">
        <f t="shared" si="1"/>
        <v>19.257221458046768</v>
      </c>
    </row>
    <row r="17" spans="1:22" ht="42.75">
      <c r="A17" s="18" t="s">
        <v>0</v>
      </c>
      <c r="B17" s="19">
        <v>130</v>
      </c>
      <c r="C17" s="19">
        <f>130*C16/100</f>
        <v>360.0630444750115</v>
      </c>
      <c r="D17" s="19">
        <f>130*D16/100-30</f>
        <v>16.60955983493811</v>
      </c>
      <c r="E17" s="19">
        <f aca="true" t="shared" si="2" ref="E17:V17">130*E16/100</f>
        <v>62.400596056854646</v>
      </c>
      <c r="F17" s="19">
        <f t="shared" si="2"/>
        <v>9.680559376432829</v>
      </c>
      <c r="G17" s="19">
        <f t="shared" si="2"/>
        <v>9.617377349839522</v>
      </c>
      <c r="H17" s="19">
        <f t="shared" si="2"/>
        <v>2.7329206785878033</v>
      </c>
      <c r="I17" s="19">
        <f t="shared" si="2"/>
        <v>0</v>
      </c>
      <c r="J17" s="19">
        <f t="shared" si="2"/>
        <v>44.23576341127923</v>
      </c>
      <c r="K17" s="19">
        <f t="shared" si="2"/>
        <v>14.350068775790922</v>
      </c>
      <c r="L17" s="19">
        <f t="shared" si="2"/>
        <v>117.1728564878496</v>
      </c>
      <c r="M17" s="19">
        <f t="shared" si="2"/>
        <v>205.43099495644202</v>
      </c>
      <c r="N17" s="19">
        <f t="shared" si="2"/>
        <v>75.12998624484182</v>
      </c>
      <c r="O17" s="19">
        <f t="shared" si="2"/>
        <v>216.15703805593762</v>
      </c>
      <c r="P17" s="19">
        <f t="shared" si="2"/>
        <v>0.2235213204951857</v>
      </c>
      <c r="Q17" s="19">
        <f t="shared" si="2"/>
        <v>182.98945437872536</v>
      </c>
      <c r="R17" s="19">
        <f t="shared" si="2"/>
        <v>164.3179734066942</v>
      </c>
      <c r="S17" s="19">
        <f t="shared" si="2"/>
        <v>2.8670334708849152</v>
      </c>
      <c r="T17" s="19">
        <f t="shared" si="2"/>
        <v>1.3751031636863826</v>
      </c>
      <c r="U17" s="19">
        <f t="shared" si="2"/>
        <v>0.33039431453461715</v>
      </c>
      <c r="V17" s="20">
        <f t="shared" si="2"/>
        <v>25.0343878954608</v>
      </c>
    </row>
    <row r="21" spans="1:47" ht="45">
      <c r="A21" s="4"/>
      <c r="B21" s="5" t="s">
        <v>82</v>
      </c>
      <c r="C21" s="6" t="s">
        <v>83</v>
      </c>
      <c r="D21" s="6" t="s">
        <v>84</v>
      </c>
      <c r="E21" s="6" t="s">
        <v>18</v>
      </c>
      <c r="F21" s="6" t="s">
        <v>85</v>
      </c>
      <c r="G21" s="6" t="s">
        <v>86</v>
      </c>
      <c r="H21" s="6" t="s">
        <v>87</v>
      </c>
      <c r="I21" s="6" t="s">
        <v>88</v>
      </c>
      <c r="J21" s="6" t="s">
        <v>89</v>
      </c>
      <c r="K21" s="6" t="s">
        <v>90</v>
      </c>
      <c r="L21" s="6" t="s">
        <v>91</v>
      </c>
      <c r="M21" s="6" t="s">
        <v>92</v>
      </c>
      <c r="N21" s="6" t="s">
        <v>17</v>
      </c>
      <c r="O21" s="6" t="s">
        <v>16</v>
      </c>
      <c r="P21" s="6" t="s">
        <v>15</v>
      </c>
      <c r="Q21" s="6" t="s">
        <v>14</v>
      </c>
      <c r="R21" s="6" t="s">
        <v>13</v>
      </c>
      <c r="S21" s="6" t="s">
        <v>93</v>
      </c>
      <c r="T21" s="6" t="s">
        <v>94</v>
      </c>
      <c r="U21" s="7" t="s">
        <v>95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21" ht="14.25">
      <c r="A22" s="12" t="s">
        <v>12</v>
      </c>
      <c r="B22" s="13" t="s">
        <v>81</v>
      </c>
      <c r="C22" s="13">
        <f>10*'[1]ΣΥΣΤΑΣΗ ΤΡΟΦΙΜΩΝ'!W6*0.8</f>
        <v>0.8</v>
      </c>
      <c r="D22" s="13">
        <f>10*'[1]ΣΥΣΤΑΣΗ ΤΡΟΦΙΜΩΝ'!X6*0.9</f>
        <v>0.27</v>
      </c>
      <c r="E22" s="13">
        <f>10*'[1]ΣΥΣΤΑΣΗ ΤΡΟΦΙΜΩΝ'!Y6*0.9</f>
        <v>0</v>
      </c>
      <c r="F22" s="13">
        <f>10*'[1]ΣΥΣΤΑΣΗ ΤΡΟΦΙΜΩΝ'!Z6*0.9</f>
        <v>6.3</v>
      </c>
      <c r="G22" s="13">
        <f>10*'[1]ΣΥΣΤΑΣΗ ΤΡΟΦΙΜΩΝ'!AA6*0.9</f>
        <v>1.35</v>
      </c>
      <c r="H22" s="13">
        <f>10*'[1]ΣΥΣΤΑΣΗ ΤΡΟΦΙΜΩΝ'!AB6</f>
        <v>0</v>
      </c>
      <c r="I22" s="13">
        <f>10*'[1]ΣΥΣΤΑΣΗ ΤΡΟΦΙΜΩΝ'!AC6*0.7</f>
        <v>217</v>
      </c>
      <c r="J22" s="13">
        <f>10*'[1]ΣΥΣΤΑΣΗ ΤΡΟΦΙΜΩΝ'!AD6</f>
        <v>0</v>
      </c>
      <c r="K22" s="13">
        <f>10*'[1]ΣΥΣΤΑΣΗ ΤΡΟΦΙΜΩΝ'!AE6</f>
        <v>0</v>
      </c>
      <c r="L22" s="13">
        <f>10*'[1]ΣΥΣΤΑΣΗ ΤΡΟΦΙΜΩΝ'!AF6</f>
        <v>0</v>
      </c>
      <c r="M22" s="13">
        <f>10*'[1]ΣΥΣΤΑΣΗ ΤΡΟΦΙΜΩΝ'!AG6</f>
        <v>3</v>
      </c>
      <c r="N22" s="13">
        <f>'[1]ΣΥΣΤΑΣΗ ΤΡΟΦΙΜΩΝ'!AH6</f>
        <v>3.695014662756598</v>
      </c>
      <c r="O22" s="13">
        <f>'[1]ΣΥΣΤΑΣΗ ΤΡΟΦΙΜΩΝ'!AI6</f>
        <v>13.489736070381232</v>
      </c>
      <c r="P22" s="13">
        <f>'[1]ΣΥΣΤΑΣΗ ΤΡΟΦΙΜΩΝ'!AJ6</f>
        <v>88.32844574780059</v>
      </c>
      <c r="Q22" s="13">
        <f>'[1]ΣΥΣΤΑΣΗ ΤΡΟΦΙΜΩΝ'!AK6</f>
        <v>0.5278592375366569</v>
      </c>
      <c r="R22" s="13">
        <f>'[1]ΣΥΣΤΑΣΗ ΤΡΟΦΙΜΩΝ'!AL6</f>
        <v>1.6422287390029326</v>
      </c>
      <c r="S22" s="13">
        <f>10*'[1]ΣΥΣΤΑΣΗ ΤΡΟΦΙΜΩΝ'!AM6</f>
        <v>2</v>
      </c>
      <c r="T22" s="13">
        <f>10*'[1]ΣΥΣΤΑΣΗ ΤΡΟΦΙΜΩΝ'!AN6</f>
        <v>1</v>
      </c>
      <c r="U22" s="14">
        <f>10*'[1]ΣΥΣΤΑΣΗ ΤΡΟΦΙΜΩΝ'!AO6</f>
        <v>6</v>
      </c>
    </row>
    <row r="23" spans="1:21" ht="14.25">
      <c r="A23" s="15" t="s">
        <v>11</v>
      </c>
      <c r="B23" s="11" t="str">
        <f>'[1]ΣΥΣΤΑΣΗ ΤΡΟΦΙΜΩΝ'!V111</f>
        <v>tr</v>
      </c>
      <c r="C23" s="11" t="str">
        <f>'[1]ΣΥΣΤΑΣΗ ΤΡΟΦΙΜΩΝ'!W111</f>
        <v>tr</v>
      </c>
      <c r="D23" s="11" t="str">
        <f>'[1]ΣΥΣΤΑΣΗ ΤΡΟΦΙΜΩΝ'!X111</f>
        <v>tr</v>
      </c>
      <c r="E23" s="11">
        <f>0.05*'[1]ΣΥΣΤΑΣΗ ΤΡΟΦΙΜΩΝ'!Y111</f>
        <v>0</v>
      </c>
      <c r="F23" s="11" t="str">
        <f>'[1]ΣΥΣΤΑΣΗ ΤΡΟΦΙΜΩΝ'!Z111</f>
        <v>tr</v>
      </c>
      <c r="G23" s="11" t="str">
        <f>'[1]ΣΥΣΤΑΣΗ ΤΡΟΦΙΜΩΝ'!AA111</f>
        <v>tr</v>
      </c>
      <c r="H23" s="11">
        <f>0.05*'[1]ΣΥΣΤΑΣΗ ΤΡΟΦΙΜΩΝ'!AB111</f>
        <v>0</v>
      </c>
      <c r="I23" s="11" t="str">
        <f>'[1]ΣΥΣΤΑΣΗ ΤΡΟΦΙΜΩΝ'!AC111</f>
        <v>tr</v>
      </c>
      <c r="J23" s="11">
        <f>0.05*'[1]ΣΥΣΤΑΣΗ ΤΡΟΦΙΜΩΝ'!AD111</f>
        <v>0</v>
      </c>
      <c r="K23" s="11">
        <f>0.05*'[1]ΣΥΣΤΑΣΗ ΤΡΟΦΙΜΩΝ'!AE111</f>
        <v>0</v>
      </c>
      <c r="L23" s="11">
        <f>0.05*'[1]ΣΥΣΤΑΣΗ ΤΡΟΦΙΜΩΝ'!AF111</f>
        <v>0</v>
      </c>
      <c r="M23" s="11" t="str">
        <f>'[1]ΣΥΣΤΑΣΗ ΤΡΟΦΙΜΩΝ'!AG111</f>
        <v>tr</v>
      </c>
      <c r="N23" s="11">
        <f>'[1]ΣΥΣΤΑΣΗ ΤΡΟΦΙΜΩΝ'!AH111</f>
        <v>0</v>
      </c>
      <c r="O23" s="11">
        <f>'[1]ΣΥΣΤΑΣΗ ΤΡΟΦΙΜΩΝ'!AI111</f>
        <v>12.760736196319018</v>
      </c>
      <c r="P23" s="11">
        <f>'[1]ΣΥΣΤΑΣΗ ΤΡΟΦΙΜΩΝ'!AJ111</f>
        <v>92.760736196319</v>
      </c>
      <c r="Q23" s="11">
        <f>'[1]ΣΥΣΤΑΣΗ ΤΡΟΦΙΜΩΝ'!AK111</f>
        <v>0</v>
      </c>
      <c r="R23" s="11">
        <f>'[1]ΣΥΣΤΑΣΗ ΤΡΟΦΙΜΩΝ'!AL111</f>
        <v>0</v>
      </c>
      <c r="S23" s="11">
        <f>0.05*'[1]ΣΥΣΤΑΣΗ ΤΡΟΦΙΜΩΝ'!AM111</f>
        <v>0</v>
      </c>
      <c r="T23" s="11" t="s">
        <v>24</v>
      </c>
      <c r="U23" s="16" t="s">
        <v>24</v>
      </c>
    </row>
    <row r="24" spans="1:21" ht="14.25">
      <c r="A24" s="15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6"/>
    </row>
    <row r="25" spans="1:21" ht="14.25">
      <c r="A25" s="15" t="s">
        <v>9</v>
      </c>
      <c r="B25" s="11" t="str">
        <f>'[1]ΣΥΣΤΑΣΗ ΤΡΟΦΙΜΩΝ'!V27</f>
        <v>tr</v>
      </c>
      <c r="C25" s="11">
        <f>0.15*'[1]ΣΥΣΤΑΣΗ ΤΡΟΦΙΜΩΝ'!W27</f>
        <v>0</v>
      </c>
      <c r="D25" s="11">
        <f>0.15*'[1]ΣΥΣΤΑΣΗ ΤΡΟΦΙΜΩΝ'!X27</f>
        <v>0</v>
      </c>
      <c r="E25" s="11">
        <f>0.15*'[1]ΣΥΣΤΑΣΗ ΤΡΟΦΙΜΩΝ'!Y27</f>
        <v>0</v>
      </c>
      <c r="F25" s="11">
        <f>0.15*'[1]ΣΥΣΤΑΣΗ ΤΡΟΦΙΜΩΝ'!Z27</f>
        <v>0</v>
      </c>
      <c r="G25" s="11">
        <f>0.15*'[1]ΣΥΣΤΑΣΗ ΤΡΟΦΙΜΩΝ'!AA27</f>
        <v>0</v>
      </c>
      <c r="H25" s="11">
        <f>0.15*'[1]ΣΥΣΤΑΣΗ ΤΡΟΦΙΜΩΝ'!AB27</f>
        <v>0</v>
      </c>
      <c r="I25" s="11">
        <f>0.15*'[1]ΣΥΣΤΑΣΗ ΤΡΟΦΙΜΩΝ'!AC27</f>
        <v>0</v>
      </c>
      <c r="J25" s="11">
        <f>0.15*'[1]ΣΥΣΤΑΣΗ ΤΡΟΦΙΜΩΝ'!AD27</f>
        <v>0</v>
      </c>
      <c r="K25" s="11">
        <f>0.15*'[1]ΣΥΣΤΑΣΗ ΤΡΟΦΙΜΩΝ'!AE27</f>
        <v>0</v>
      </c>
      <c r="L25" s="11">
        <f>0.15*'[1]ΣΥΣΤΑΣΗ ΤΡΟΦΙΜΩΝ'!AF27</f>
        <v>0</v>
      </c>
      <c r="M25" s="11">
        <f>0.15*'[1]ΣΥΣΤΑΣΗ ΤΡΟΦΙΜΩΝ'!AG27</f>
        <v>0</v>
      </c>
      <c r="N25" s="11">
        <f>'[1]ΣΥΣΤΑΣΗ ΤΡΟΦΙΜΩΝ'!AH27</f>
        <v>0</v>
      </c>
      <c r="O25" s="11">
        <v>0</v>
      </c>
      <c r="P25" s="11">
        <f>'[1]ΣΥΣΤΑΣΗ ΤΡΟΦΙΜΩΝ'!AJ27</f>
        <v>106.5989847715736</v>
      </c>
      <c r="Q25" s="11">
        <f>'[1]ΣΥΣΤΑΣΗ ΤΡΟΦΙΜΩΝ'!AK27</f>
        <v>0</v>
      </c>
      <c r="R25" s="11">
        <f>'[1]ΣΥΣΤΑΣΗ ΤΡΟΦΙΜΩΝ'!AL27</f>
        <v>106.5989847715736</v>
      </c>
      <c r="S25" s="11">
        <f>0.15*'[1]ΣΥΣΤΑΣΗ ΤΡΟΦΙΜΩΝ'!AM27</f>
        <v>0</v>
      </c>
      <c r="T25" s="11">
        <f>0.15*'[1]ΣΥΣΤΑΣΗ ΤΡΟΦΙΜΩΝ'!AN27</f>
        <v>0</v>
      </c>
      <c r="U25" s="16">
        <f>0.15*'[1]ΣΥΣΤΑΣΗ ΤΡΟΦΙΜΩΝ'!AO27</f>
        <v>0</v>
      </c>
    </row>
    <row r="26" spans="1:21" ht="14.25">
      <c r="A26" s="15" t="s">
        <v>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6"/>
    </row>
    <row r="27" spans="1:21" ht="14.25">
      <c r="A27" s="15" t="s">
        <v>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6"/>
    </row>
    <row r="28" spans="1:21" ht="14.25">
      <c r="A28" s="15" t="s">
        <v>6</v>
      </c>
      <c r="B28" s="11" t="str">
        <f>'[1]ΣΥΣΤΑΣΗ ΤΡΟΦΙΜΩΝ'!V86</f>
        <v>n</v>
      </c>
      <c r="C28" s="11">
        <f>2.5*'[1]ΣΥΣΤΑΣΗ ΤΡΟΦΙΜΩΝ'!W86</f>
        <v>2.3499999999999996</v>
      </c>
      <c r="D28" s="11">
        <f>2.5*'[1]ΣΥΣΤΑΣΗ ΤΡΟΦΙΜΩΝ'!X86</f>
        <v>0.42500000000000004</v>
      </c>
      <c r="E28" s="11">
        <f>2.5*'[1]ΣΥΣΤΑΣΗ ΤΡΟΦΙΜΩΝ'!Y86</f>
        <v>15</v>
      </c>
      <c r="F28" s="11">
        <f>2.5*'[1]ΣΥΣΤΑΣΗ ΤΡΟΦΙΜΩΝ'!Z86</f>
        <v>12.75</v>
      </c>
      <c r="G28" s="11">
        <f>2.5*'[1]ΣΥΣΤΑΣΗ ΤΡΟΦΙΜΩΝ'!AA86</f>
        <v>1.9</v>
      </c>
      <c r="H28" s="11">
        <f>2.5*'[1]ΣΥΣΤΑΣΗ ΤΡΟΦΙΜΩΝ'!AB86</f>
        <v>0</v>
      </c>
      <c r="I28" s="11">
        <f>2.5*'[1]ΣΥΣΤΑΣΗ ΤΡΟΦΙΜΩΝ'!AC86</f>
        <v>247.5</v>
      </c>
      <c r="J28" s="11">
        <f>2.5*'[1]ΣΥΣΤΑΣΗ ΤΡΟΦΙΜΩΝ'!AD86</f>
        <v>0</v>
      </c>
      <c r="K28" s="11">
        <f>2.5*'[1]ΣΥΣΤΑΣΗ ΤΡΟΦΙΜΩΝ'!AE86</f>
        <v>0</v>
      </c>
      <c r="L28" s="11">
        <f>2.5*'[1]ΣΥΣΤΑΣΗ ΤΡΟΦΙΜΩΝ'!AF86</f>
        <v>0</v>
      </c>
      <c r="M28" s="11">
        <f>2.5*'[1]ΣΥΣΤΑΣΗ ΤΡΟΦΙΜΩΝ'!AG86</f>
        <v>6.425</v>
      </c>
      <c r="N28" s="11">
        <f>'[1]ΣΥΣΤΑΣΗ ΤΡΟΦΙΜΩΝ'!AH86</f>
        <v>87.33113673805602</v>
      </c>
      <c r="O28" s="11">
        <f>'[1]ΣΥΣΤΑΣΗ ΤΡΟΦΙΜΩΝ'!AI86</f>
        <v>12.191103789126853</v>
      </c>
      <c r="P28" s="11">
        <f>'[1]ΣΥΣΤΑΣΗ ΤΡΟΦΙΜΩΝ'!AJ86</f>
        <v>0.5930807248764415</v>
      </c>
      <c r="Q28" s="11">
        <f>'[1]ΣΥΣΤΑΣΗ ΤΡΟΦΙΜΩΝ'!AK86</f>
        <v>12.454695222405274</v>
      </c>
      <c r="R28" s="11">
        <f>'[1]ΣΥΣΤΑΣΗ ΤΡΟΦΙΜΩΝ'!AL86</f>
        <v>0.26359143327841844</v>
      </c>
      <c r="S28" s="11">
        <f>2.5*'[1]ΣΥΣΤΑΣΗ ΤΡΟΦΙΜΩΝ'!AM86</f>
        <v>21</v>
      </c>
      <c r="T28" s="11">
        <f>2.5*'[1]ΣΥΣΤΑΣΗ ΤΡΟΦΙΜΩΝ'!AN86</f>
        <v>55</v>
      </c>
      <c r="U28" s="16">
        <f>2.5*'[1]ΣΥΣΤΑΣΗ ΤΡΟΦΙΜΩΝ'!AO86</f>
        <v>64.5</v>
      </c>
    </row>
    <row r="29" spans="1:21" ht="14.25">
      <c r="A29" s="15" t="s">
        <v>5</v>
      </c>
      <c r="B29" s="11" t="str">
        <f>'[1]ΣΥΣΤΑΣΗ ΤΡΟΦΙΜΩΝ'!V27</f>
        <v>tr</v>
      </c>
      <c r="C29" s="11">
        <f>2*'[1]ΣΥΣΤΑΣΗ ΤΡΟΦΙΜΩΝ'!W27</f>
        <v>0</v>
      </c>
      <c r="D29" s="11">
        <f>2*'[1]ΣΥΣΤΑΣΗ ΤΡΟΦΙΜΩΝ'!X27</f>
        <v>0</v>
      </c>
      <c r="E29" s="11">
        <f>2*'[1]ΣΥΣΤΑΣΗ ΤΡΟΦΙΜΩΝ'!Y27</f>
        <v>0</v>
      </c>
      <c r="F29" s="11">
        <f>2*'[1]ΣΥΣΤΑΣΗ ΤΡΟΦΙΜΩΝ'!Z27</f>
        <v>0</v>
      </c>
      <c r="G29" s="11">
        <f>2*'[1]ΣΥΣΤΑΣΗ ΤΡΟΦΙΜΩΝ'!AA27</f>
        <v>0</v>
      </c>
      <c r="H29" s="11">
        <f>2*'[1]ΣΥΣΤΑΣΗ ΤΡΟΦΙΜΩΝ'!AB27</f>
        <v>0</v>
      </c>
      <c r="I29" s="11">
        <f>2*'[1]ΣΥΣΤΑΣΗ ΤΡΟΦΙΜΩΝ'!AC27</f>
        <v>0</v>
      </c>
      <c r="J29" s="11">
        <f>2*'[1]ΣΥΣΤΑΣΗ ΤΡΟΦΙΜΩΝ'!AD27</f>
        <v>0</v>
      </c>
      <c r="K29" s="11">
        <f>2*'[1]ΣΥΣΤΑΣΗ ΤΡΟΦΙΜΩΝ'!AE27</f>
        <v>0</v>
      </c>
      <c r="L29" s="11">
        <f>2*'[1]ΣΥΣΤΑΣΗ ΤΡΟΦΙΜΩΝ'!AF27</f>
        <v>0</v>
      </c>
      <c r="M29" s="11">
        <f>2*'[1]ΣΥΣΤΑΣΗ ΤΡΟΦΙΜΩΝ'!AG27</f>
        <v>0</v>
      </c>
      <c r="N29" s="11">
        <f>'[1]ΣΥΣΤΑΣΗ ΤΡΟΦΙΜΩΝ'!AH27</f>
        <v>0</v>
      </c>
      <c r="O29" s="11">
        <v>0</v>
      </c>
      <c r="P29" s="11">
        <f>'[1]ΣΥΣΤΑΣΗ ΤΡΟΦΙΜΩΝ'!AJ27</f>
        <v>106.5989847715736</v>
      </c>
      <c r="Q29" s="11">
        <f>'[1]ΣΥΣΤΑΣΗ ΤΡΟΦΙΜΩΝ'!AK27</f>
        <v>0</v>
      </c>
      <c r="R29" s="11">
        <f>'[1]ΣΥΣΤΑΣΗ ΤΡΟΦΙΜΩΝ'!AL27</f>
        <v>106.5989847715736</v>
      </c>
      <c r="S29" s="11">
        <f>2*'[1]ΣΥΣΤΑΣΗ ΤΡΟΦΙΜΩΝ'!AM27</f>
        <v>0</v>
      </c>
      <c r="T29" s="11">
        <f>2*'[1]ΣΥΣΤΑΣΗ ΤΡΟΦΙΜΩΝ'!AN27</f>
        <v>0</v>
      </c>
      <c r="U29" s="16">
        <f>2*'[1]ΣΥΣΤΑΣΗ ΤΡΟΦΙΜΩΝ'!AO27</f>
        <v>0</v>
      </c>
    </row>
    <row r="30" spans="1:21" ht="14.25">
      <c r="A30" s="15" t="s">
        <v>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6"/>
    </row>
    <row r="31" spans="1:21" ht="14.25">
      <c r="A31" s="15" t="s">
        <v>3</v>
      </c>
      <c r="B31" s="11" t="s">
        <v>20</v>
      </c>
      <c r="C31" s="11">
        <f>'[1]ΣΥΣΤΑΣΗ ΤΡΟΦΙΜΩΝ'!W87</f>
        <v>0.04</v>
      </c>
      <c r="D31" s="11">
        <f>'[1]ΣΥΣΤΑΣΗ ΤΡΟΦΙΜΩΝ'!X87</f>
        <v>0.73</v>
      </c>
      <c r="E31" s="11" t="s">
        <v>20</v>
      </c>
      <c r="F31" s="11">
        <f>'[1]ΣΥΣΤΑΣΗ ΤΡΟΦΙΜΩΝ'!Z87</f>
        <v>0.7</v>
      </c>
      <c r="G31" s="11" t="s">
        <v>20</v>
      </c>
      <c r="H31" s="11" t="s">
        <v>20</v>
      </c>
      <c r="I31" s="11" t="s">
        <v>20</v>
      </c>
      <c r="J31" s="11" t="s">
        <v>20</v>
      </c>
      <c r="K31" s="11" t="s">
        <v>20</v>
      </c>
      <c r="L31" s="11" t="s">
        <v>20</v>
      </c>
      <c r="M31" s="11" t="s">
        <v>20</v>
      </c>
      <c r="N31" s="11">
        <f>'[1]ΣΥΣΤΑΣΗ ΤΡΟΦΙΜΩΝ'!AH87</f>
        <v>0.3488372093023256</v>
      </c>
      <c r="O31" s="11">
        <f>'[1]ΣΥΣΤΑΣΗ ΤΡΟΦΙΜΩΝ'!AI87</f>
        <v>1.3953488372093024</v>
      </c>
      <c r="P31" s="11">
        <f>'[1]ΣΥΣΤΑΣΗ ΤΡΟΦΙΜΩΝ'!AJ87</f>
        <v>99.2248062015504</v>
      </c>
      <c r="Q31" s="11">
        <f>'[1]ΣΥΣΤΑΣΗ ΤΡΟΦΙΜΩΝ'!AK87</f>
        <v>0</v>
      </c>
      <c r="R31" s="11">
        <f>'[1]ΣΥΣΤΑΣΗ ΤΡΟΦΙΜΩΝ'!AL87</f>
        <v>0</v>
      </c>
      <c r="S31" s="11" t="s">
        <v>20</v>
      </c>
      <c r="T31" s="11" t="s">
        <v>20</v>
      </c>
      <c r="U31" s="16" t="s">
        <v>20</v>
      </c>
    </row>
    <row r="32" spans="1:21" ht="14.25">
      <c r="A32" s="17" t="s">
        <v>2</v>
      </c>
      <c r="B32" s="11">
        <f aca="true" t="shared" si="3" ref="B32:M32">SUM(B22:B31)</f>
        <v>0</v>
      </c>
      <c r="C32" s="11">
        <f t="shared" si="3"/>
        <v>3.1899999999999995</v>
      </c>
      <c r="D32" s="11">
        <f t="shared" si="3"/>
        <v>1.425</v>
      </c>
      <c r="E32" s="11">
        <f t="shared" si="3"/>
        <v>15</v>
      </c>
      <c r="F32" s="11">
        <f t="shared" si="3"/>
        <v>19.75</v>
      </c>
      <c r="G32" s="11">
        <f t="shared" si="3"/>
        <v>3.25</v>
      </c>
      <c r="H32" s="11">
        <f t="shared" si="3"/>
        <v>0</v>
      </c>
      <c r="I32" s="11">
        <f t="shared" si="3"/>
        <v>464.5</v>
      </c>
      <c r="J32" s="11">
        <f t="shared" si="3"/>
        <v>0</v>
      </c>
      <c r="K32" s="11">
        <f t="shared" si="3"/>
        <v>0</v>
      </c>
      <c r="L32" s="11">
        <f t="shared" si="3"/>
        <v>0</v>
      </c>
      <c r="M32" s="11">
        <f t="shared" si="3"/>
        <v>9.425</v>
      </c>
      <c r="N32" s="10">
        <f>9*G15*100/C15</f>
        <v>24.03923353888176</v>
      </c>
      <c r="O32" s="10">
        <f>4*F15*100/C15</f>
        <v>10.754293754914539</v>
      </c>
      <c r="P32" s="10">
        <f>4*E15*100/C15</f>
        <v>69.32185572983487</v>
      </c>
      <c r="Q32" s="11">
        <f>9*S32*100/C15</f>
        <v>3.4267268137234614</v>
      </c>
      <c r="R32" s="11">
        <f>4*K15*100/C15</f>
        <v>15.941729089930886</v>
      </c>
      <c r="S32" s="11">
        <f>SUM(S22:S31)</f>
        <v>23</v>
      </c>
      <c r="T32" s="11">
        <f>SUM(T22:T31)</f>
        <v>56</v>
      </c>
      <c r="U32" s="16">
        <f>SUM(U22:U31)</f>
        <v>70.5</v>
      </c>
    </row>
    <row r="33" spans="1:21" ht="28.5">
      <c r="A33" s="17" t="s">
        <v>1</v>
      </c>
      <c r="B33" s="11">
        <f aca="true" t="shared" si="4" ref="B33:M33">100*B32/$B$15</f>
        <v>0</v>
      </c>
      <c r="C33" s="11">
        <f t="shared" si="4"/>
        <v>0.14626318202659327</v>
      </c>
      <c r="D33" s="11">
        <f t="shared" si="4"/>
        <v>0.06533700137551582</v>
      </c>
      <c r="E33" s="11">
        <f t="shared" si="4"/>
        <v>0.687757909215956</v>
      </c>
      <c r="F33" s="11">
        <f t="shared" si="4"/>
        <v>0.9055479138010087</v>
      </c>
      <c r="G33" s="11">
        <f t="shared" si="4"/>
        <v>0.14901421366345713</v>
      </c>
      <c r="H33" s="11">
        <f t="shared" si="4"/>
        <v>0</v>
      </c>
      <c r="I33" s="11">
        <f t="shared" si="4"/>
        <v>21.297569922054105</v>
      </c>
      <c r="J33" s="11">
        <f t="shared" si="4"/>
        <v>0</v>
      </c>
      <c r="K33" s="11">
        <f t="shared" si="4"/>
        <v>0</v>
      </c>
      <c r="L33" s="11">
        <f t="shared" si="4"/>
        <v>0</v>
      </c>
      <c r="M33" s="11">
        <f t="shared" si="4"/>
        <v>0.43214121962402574</v>
      </c>
      <c r="N33" s="11"/>
      <c r="O33" s="11"/>
      <c r="P33" s="11"/>
      <c r="Q33" s="11"/>
      <c r="R33" s="11"/>
      <c r="S33" s="11">
        <f>100*S32/$B$15</f>
        <v>1.0545621274644659</v>
      </c>
      <c r="T33" s="11">
        <f>100*T32/$B$15</f>
        <v>2.567629527739569</v>
      </c>
      <c r="U33" s="16">
        <f>100*U32/$B$15</f>
        <v>3.232462173314993</v>
      </c>
    </row>
    <row r="34" spans="1:21" ht="42.75">
      <c r="A34" s="18" t="s">
        <v>0</v>
      </c>
      <c r="B34" s="19">
        <f aca="true" t="shared" si="5" ref="B34:U34">130*B33/100</f>
        <v>0</v>
      </c>
      <c r="C34" s="19">
        <f t="shared" si="5"/>
        <v>0.19014213663457127</v>
      </c>
      <c r="D34" s="19">
        <f t="shared" si="5"/>
        <v>0.08493810178817057</v>
      </c>
      <c r="E34" s="19">
        <f t="shared" si="5"/>
        <v>0.8940852819807428</v>
      </c>
      <c r="F34" s="19">
        <f t="shared" si="5"/>
        <v>1.1772122879413114</v>
      </c>
      <c r="G34" s="19">
        <f t="shared" si="5"/>
        <v>0.1937184777624943</v>
      </c>
      <c r="H34" s="19">
        <f t="shared" si="5"/>
        <v>0</v>
      </c>
      <c r="I34" s="19">
        <f t="shared" si="5"/>
        <v>27.68684089867034</v>
      </c>
      <c r="J34" s="19">
        <f t="shared" si="5"/>
        <v>0</v>
      </c>
      <c r="K34" s="19">
        <f t="shared" si="5"/>
        <v>0</v>
      </c>
      <c r="L34" s="19">
        <f t="shared" si="5"/>
        <v>0</v>
      </c>
      <c r="M34" s="19">
        <f t="shared" si="5"/>
        <v>0.5617835855112334</v>
      </c>
      <c r="N34" s="19">
        <f t="shared" si="5"/>
        <v>0</v>
      </c>
      <c r="O34" s="19">
        <f t="shared" si="5"/>
        <v>0</v>
      </c>
      <c r="P34" s="19">
        <f t="shared" si="5"/>
        <v>0</v>
      </c>
      <c r="Q34" s="19">
        <f t="shared" si="5"/>
        <v>0</v>
      </c>
      <c r="R34" s="19">
        <f t="shared" si="5"/>
        <v>0</v>
      </c>
      <c r="S34" s="19">
        <f t="shared" si="5"/>
        <v>1.3709307657038057</v>
      </c>
      <c r="T34" s="19">
        <f t="shared" si="5"/>
        <v>3.33791838606144</v>
      </c>
      <c r="U34" s="20">
        <f t="shared" si="5"/>
        <v>4.2022008253094905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&amp;C138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view="pageLayout" zoomScale="55" zoomScaleNormal="55" zoomScalePageLayoutView="55" workbookViewId="0" topLeftCell="A40">
      <selection activeCell="A19" sqref="A19:IV19"/>
    </sheetView>
  </sheetViews>
  <sheetFormatPr defaultColWidth="9.140625" defaultRowHeight="15"/>
  <cols>
    <col min="1" max="1" width="25.421875" style="2" customWidth="1"/>
    <col min="2" max="3" width="9.140625" style="1" customWidth="1"/>
    <col min="4" max="4" width="10.421875" style="1" customWidth="1"/>
    <col min="5" max="5" width="16.421875" style="1" customWidth="1"/>
    <col min="6" max="8" width="9.140625" style="1" customWidth="1"/>
    <col min="9" max="9" width="11.57421875" style="1" customWidth="1"/>
    <col min="10" max="12" width="9.140625" style="1" customWidth="1"/>
    <col min="13" max="13" width="11.28125" style="1" customWidth="1"/>
    <col min="14" max="14" width="11.8515625" style="1" customWidth="1"/>
    <col min="15" max="15" width="9.140625" style="1" customWidth="1"/>
    <col min="16" max="16" width="14.140625" style="1" customWidth="1"/>
    <col min="17" max="17" width="10.421875" style="1" customWidth="1"/>
    <col min="18" max="18" width="11.8515625" style="1" customWidth="1"/>
    <col min="19" max="19" width="10.421875" style="1" customWidth="1"/>
    <col min="20" max="21" width="9.140625" style="1" customWidth="1"/>
    <col min="22" max="22" width="11.140625" style="1" customWidth="1"/>
    <col min="23" max="16384" width="9.140625" style="1" customWidth="1"/>
  </cols>
  <sheetData>
    <row r="1" spans="1:47" ht="18">
      <c r="A1" s="26" t="s">
        <v>119</v>
      </c>
      <c r="B1" s="26"/>
      <c r="C1" s="26"/>
      <c r="D1" s="26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" ht="18">
      <c r="A2" s="26" t="s">
        <v>120</v>
      </c>
      <c r="B2" s="26"/>
      <c r="C2" s="26"/>
      <c r="D2" s="26"/>
    </row>
    <row r="4" spans="1:23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  <c r="W4" s="8"/>
    </row>
    <row r="5" spans="1:22" ht="14.25">
      <c r="A5" s="12" t="s">
        <v>64</v>
      </c>
      <c r="B5" s="13">
        <v>500</v>
      </c>
      <c r="C5" s="13">
        <f>5*'[2]ΣΥΣΤΑΣΗ ΤΡΟΦΙΜΩΝ'!B7</f>
        <v>1550</v>
      </c>
      <c r="D5" s="13">
        <f>5*'[2]ΣΥΣΤΑΣΗ ΤΡΟΦΙΜΩΝ'!C7</f>
        <v>70</v>
      </c>
      <c r="E5" s="13">
        <f>5*'[2]ΣΥΣΤΑΣΗ ΤΡΟΦΙΜΩΝ'!D7</f>
        <v>319.5</v>
      </c>
      <c r="F5" s="13">
        <f>5*'[2]ΣΥΣΤΑΣΗ ΤΡΟΦΙΜΩΝ'!E7</f>
        <v>63.5</v>
      </c>
      <c r="G5" s="13">
        <f>5*'[2]ΣΥΣΤΑΣΗ ΤΡΟΦΙΜΩΝ'!F7</f>
        <v>11</v>
      </c>
      <c r="H5" s="13">
        <f>5*'[2]ΣΥΣΤΑΣΗ ΤΡΟΦΙΜΩΝ'!G7</f>
        <v>43</v>
      </c>
      <c r="I5" s="13">
        <f>5*'[2]ΣΥΣΤΑΣΗ ΤΡΟΦΙΜΩΝ'!H7</f>
        <v>0</v>
      </c>
      <c r="J5" s="13">
        <f>5*'[2]ΣΥΣΤΑΣΗ ΤΡΟΦΙΜΩΝ'!I7</f>
        <v>309</v>
      </c>
      <c r="K5" s="13">
        <f>5*'[2]ΣΥΣΤΑΣΗ ΤΡΟΦΙΜΩΝ'!J7</f>
        <v>10.5</v>
      </c>
      <c r="L5" s="13">
        <f>5*'[2]ΣΥΣΤΑΣΗ ΤΡΟΦΙΜΩΝ'!K7</f>
        <v>190</v>
      </c>
      <c r="M5" s="13">
        <f>5*'[2]ΣΥΣΤΑΣΗ ΤΡΟΦΙΜΩΝ'!L7</f>
        <v>1600</v>
      </c>
      <c r="N5" s="13">
        <f>5*'[2]ΣΥΣΤΑΣΗ ΤΡΟΦΙΜΩΝ'!M7</f>
        <v>600</v>
      </c>
      <c r="O5" s="13">
        <f>5*'[2]ΣΥΣΤΑΣΗ ΤΡΟΦΙΜΩΝ'!N7</f>
        <v>0</v>
      </c>
      <c r="P5" s="13">
        <f>5*'[2]ΣΥΣΤΑΣΗ ΤΡΟΦΙΜΩΝ'!O7</f>
        <v>0</v>
      </c>
      <c r="Q5" s="13">
        <f>5*'[2]ΣΥΣΤΑΣΗ ΤΡΟΦΙΜΩΝ'!P7</f>
        <v>15</v>
      </c>
      <c r="R5" s="13">
        <f>5*'[2]ΣΥΣΤΑΣΗ ΤΡΟΦΙΜΩΝ'!Q7</f>
        <v>1700</v>
      </c>
      <c r="S5" s="13">
        <f>5*'[2]ΣΥΣΤΑΣΗ ΤΡΟΦΙΜΩΝ'!R7</f>
        <v>19.5</v>
      </c>
      <c r="T5" s="13">
        <f>5*'[2]ΣΥΣΤΑΣΗ ΤΡΟΦΙΜΩΝ'!S7</f>
        <v>14.5</v>
      </c>
      <c r="U5" s="13">
        <f>5*'[2]ΣΥΣΤΑΣΗ ΤΡΟΦΙΜΩΝ'!T7</f>
        <v>2.25</v>
      </c>
      <c r="V5" s="14">
        <f>5*'[2]ΣΥΣΤΑΣΗ ΤΡΟΦΙΜΩΝ'!U7</f>
        <v>265</v>
      </c>
    </row>
    <row r="6" spans="1:22" ht="14.25">
      <c r="A6" s="15" t="s">
        <v>80</v>
      </c>
      <c r="B6" s="11">
        <v>360</v>
      </c>
      <c r="C6" s="11"/>
      <c r="D6" s="11">
        <v>360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6"/>
    </row>
    <row r="7" spans="1:22" ht="14.25">
      <c r="A7" s="15" t="s">
        <v>79</v>
      </c>
      <c r="B7" s="11">
        <v>44</v>
      </c>
      <c r="C7" s="11">
        <f>0.44*'[2]ΣΥΣΤΑΣΗ ΤΡΟΦΙΜΩΝ'!B98</f>
        <v>395.56</v>
      </c>
      <c r="D7" s="11" t="str">
        <f>'[2]ΣΥΣΤΑΣΗ ΤΡΟΦΙΜΩΝ'!C98</f>
        <v>tr</v>
      </c>
      <c r="E7" s="11">
        <f>0.44*'[2]ΣΥΣΤΑΣΗ ΤΡΟΦΙΜΩΝ'!D98</f>
        <v>0</v>
      </c>
      <c r="F7" s="11" t="str">
        <f>'[2]ΣΥΣΤΑΣΗ ΤΡΟΦΙΜΩΝ'!E98</f>
        <v>tr</v>
      </c>
      <c r="G7" s="11">
        <f>0.44*'[2]ΣΥΣΤΑΣΗ ΤΡΟΦΙΜΩΝ'!F98</f>
        <v>43.956</v>
      </c>
      <c r="H7" s="11">
        <f>0.44*'[2]ΣΥΣΤΑΣΗ ΤΡΟΦΙΜΩΝ'!G98</f>
        <v>0</v>
      </c>
      <c r="I7" s="11">
        <f>0.44*'[2]ΣΥΣΤΑΣΗ ΤΡΟΦΙΜΩΝ'!H98</f>
        <v>0</v>
      </c>
      <c r="J7" s="11">
        <f>0.44*'[2]ΣΥΣΤΑΣΗ ΤΡΟΦΙΜΩΝ'!I98</f>
        <v>0</v>
      </c>
      <c r="K7" s="11">
        <f>0.44*'[2]ΣΥΣΤΑΣΗ ΤΡΟΦΙΜΩΝ'!J98</f>
        <v>0</v>
      </c>
      <c r="L7" s="11" t="str">
        <f>'[2]ΣΥΣΤΑΣΗ ΤΡΟΦΙΜΩΝ'!K98</f>
        <v>tr</v>
      </c>
      <c r="M7" s="11" t="str">
        <f>'[2]ΣΥΣΤΑΣΗ ΤΡΟΦΙΜΩΝ'!L98</f>
        <v>tr</v>
      </c>
      <c r="N7" s="11" t="str">
        <f>'[2]ΣΥΣΤΑΣΗ ΤΡΟΦΙΜΩΝ'!M98</f>
        <v>tr</v>
      </c>
      <c r="O7" s="11" t="str">
        <f>'[2]ΣΥΣΤΑΣΗ ΤΡΟΦΙΜΩΝ'!N98</f>
        <v>tr</v>
      </c>
      <c r="P7" s="11" t="str">
        <f>'[2]ΣΥΣΤΑΣΗ ΤΡΟΦΙΜΩΝ'!O98</f>
        <v>tr</v>
      </c>
      <c r="Q7" s="11" t="str">
        <f>'[2]ΣΥΣΤΑΣΗ ΤΡΟΦΙΜΩΝ'!P98</f>
        <v>tr</v>
      </c>
      <c r="R7" s="11" t="str">
        <f>'[2]ΣΥΣΤΑΣΗ ΤΡΟΦΙΜΩΝ'!Q98</f>
        <v>tr</v>
      </c>
      <c r="S7" s="11" t="str">
        <f>'[2]ΣΥΣΤΑΣΗ ΤΡΟΦΙΜΩΝ'!R98</f>
        <v>tr</v>
      </c>
      <c r="T7" s="11" t="str">
        <f>'[2]ΣΥΣΤΑΣΗ ΤΡΟΦΙΜΩΝ'!S98</f>
        <v>tr</v>
      </c>
      <c r="U7" s="11" t="str">
        <f>'[2]ΣΥΣΤΑΣΗ ΤΡΟΦΙΜΩΝ'!T98</f>
        <v>tr</v>
      </c>
      <c r="V7" s="16" t="str">
        <f>'[2]ΣΥΣΤΑΣΗ ΤΡΟΦΙΜΩΝ'!U98</f>
        <v>tr</v>
      </c>
    </row>
    <row r="8" spans="1:22" ht="14.25">
      <c r="A8" s="15" t="s">
        <v>41</v>
      </c>
      <c r="B8" s="11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1800</v>
      </c>
      <c r="P8" s="11"/>
      <c r="Q8" s="11">
        <v>1200</v>
      </c>
      <c r="R8" s="11"/>
      <c r="S8" s="11"/>
      <c r="T8" s="11"/>
      <c r="U8" s="11"/>
      <c r="V8" s="16"/>
    </row>
    <row r="9" spans="1:22" ht="14.25">
      <c r="A9" s="15" t="s">
        <v>78</v>
      </c>
      <c r="B9" s="11">
        <v>80</v>
      </c>
      <c r="C9" s="11">
        <f>0.8*'[2]ΣΥΣΤΑΣΗ ΤΡΟΦΙΜΩΝ'!B149</f>
        <v>243.20000000000002</v>
      </c>
      <c r="D9" s="11">
        <f>0.8*'[2]ΣΥΣΤΑΣΗ ΤΡΟΦΙΜΩΝ'!C149</f>
        <v>13.680000000000001</v>
      </c>
      <c r="E9" s="11">
        <f>0.8*'[2]ΣΥΣΤΑΣΗ ΤΡΟΦΙΜΩΝ'!D149</f>
        <v>65.92</v>
      </c>
      <c r="F9" s="11">
        <f>0.8*'[2]ΣΥΣΤΑΣΗ ΤΡΟΦΙΜΩΝ'!E149</f>
        <v>0.24</v>
      </c>
      <c r="G9" s="11">
        <f>0.8*'[2]ΣΥΣΤΑΣΗ ΤΡΟΦΙΜΩΝ'!F149</f>
        <v>0</v>
      </c>
      <c r="H9" s="11">
        <f>0.8*'[2]ΣΥΣΤΑΣΗ ΤΡΟΦΙΜΩΝ'!G149</f>
        <v>0.16000000000000003</v>
      </c>
      <c r="I9" s="11">
        <f>0.8*'[2]ΣΥΣΤΑΣΗ ΤΡΟΦΙΜΩΝ'!H149</f>
        <v>0</v>
      </c>
      <c r="J9" s="11" t="str">
        <f>'[2]ΣΥΣΤΑΣΗ ΤΡΟΦΙΜΩΝ'!I149</f>
        <v>-</v>
      </c>
      <c r="K9" s="11">
        <f>0.8*'[2]ΣΥΣΤΑΣΗ ΤΡΟΦΙΜΩΝ'!J149</f>
        <v>65.69600000000001</v>
      </c>
      <c r="L9" s="11">
        <f>0.8*'[2]ΣΥΣΤΑΣΗ ΤΡΟΦΙΜΩΝ'!K149</f>
        <v>4.800000000000001</v>
      </c>
      <c r="M9" s="11">
        <f>0.8*'[2]ΣΥΣΤΑΣΗ ΤΡΟΦΙΜΩΝ'!L149</f>
        <v>3.2</v>
      </c>
      <c r="N9" s="11">
        <f>0.8*'[2]ΣΥΣΤΑΣΗ ΤΡΟΦΙΜΩΝ'!M149</f>
        <v>1.6</v>
      </c>
      <c r="O9" s="11" t="str">
        <f>'[2]ΣΥΣΤΑΣΗ ΤΡΟΦΙΜΩΝ'!N149</f>
        <v>-</v>
      </c>
      <c r="P9" s="11">
        <f>0.8*'[2]ΣΥΣΤΑΣΗ ΤΡΟΦΙΜΩΝ'!O149</f>
        <v>0.064</v>
      </c>
      <c r="Q9" s="11">
        <f>0.8*'[2]ΣΥΣΤΑΣΗ ΤΡΟΦΙΜΩΝ'!P149</f>
        <v>3.2</v>
      </c>
      <c r="R9" s="11">
        <f>0.8*'[2]ΣΥΣΤΑΣΗ ΤΡΟΦΙΜΩΝ'!Q149</f>
        <v>41.6</v>
      </c>
      <c r="S9" s="11">
        <f>0.8*'[2]ΣΥΣΤΑΣΗ ΤΡΟΦΙΜΩΝ'!R149</f>
        <v>0.336</v>
      </c>
      <c r="T9" s="11">
        <f>0.8*'[2]ΣΥΣΤΑΣΗ ΤΡΟΦΙΜΩΝ'!S149</f>
        <v>0.17600000000000002</v>
      </c>
      <c r="U9" s="11">
        <f>0.8*'[2]ΣΥΣΤΑΣΗ ΤΡΟΦΙΜΩΝ'!T149</f>
        <v>0.0288</v>
      </c>
      <c r="V9" s="16">
        <f>0.8*'[2]ΣΥΣΤΑΣΗ ΤΡΟΦΙΜΩΝ'!U149</f>
        <v>0.6400000000000001</v>
      </c>
    </row>
    <row r="10" spans="1:22" ht="14.25">
      <c r="A10" s="15" t="s">
        <v>77</v>
      </c>
      <c r="B10" s="11">
        <v>36</v>
      </c>
      <c r="C10" s="11">
        <f>0.36*'[2]ΣΥΣΤΑΣΗ ΤΡΟΦΙΜΩΝ'!B149</f>
        <v>109.44</v>
      </c>
      <c r="D10" s="11">
        <f>0.36*'[2]ΣΥΣΤΑΣΗ ΤΡΟΦΙΜΩΝ'!C149</f>
        <v>6.156000000000001</v>
      </c>
      <c r="E10" s="11">
        <f>0.36*'[2]ΣΥΣΤΑΣΗ ΤΡΟΦΙΜΩΝ'!D149</f>
        <v>29.664</v>
      </c>
      <c r="F10" s="11">
        <f>0.36*'[2]ΣΥΣΤΑΣΗ ΤΡΟΦΙΜΩΝ'!E149</f>
        <v>0.108</v>
      </c>
      <c r="G10" s="11">
        <f>0.36*'[2]ΣΥΣΤΑΣΗ ΤΡΟΦΙΜΩΝ'!F149</f>
        <v>0</v>
      </c>
      <c r="H10" s="11">
        <f>0.36*'[2]ΣΥΣΤΑΣΗ ΤΡΟΦΙΜΩΝ'!G149</f>
        <v>0.072</v>
      </c>
      <c r="I10" s="11">
        <f>0.36*'[2]ΣΥΣΤΑΣΗ ΤΡΟΦΙΜΩΝ'!H149</f>
        <v>0</v>
      </c>
      <c r="J10" s="11" t="s">
        <v>20</v>
      </c>
      <c r="K10" s="11">
        <f>0.36*'[2]ΣΥΣΤΑΣΗ ΤΡΟΦΙΜΩΝ'!J149</f>
        <v>29.563200000000002</v>
      </c>
      <c r="L10" s="11">
        <f>0.36*'[2]ΣΥΣΤΑΣΗ ΤΡΟΦΙΜΩΝ'!K149</f>
        <v>2.16</v>
      </c>
      <c r="M10" s="11">
        <f>0.36*'[2]ΣΥΣΤΑΣΗ ΤΡΟΦΙΜΩΝ'!L149</f>
        <v>1.44</v>
      </c>
      <c r="N10" s="11">
        <f>0.36*'[2]ΣΥΣΤΑΣΗ ΤΡΟΦΙΜΩΝ'!M149</f>
        <v>0.72</v>
      </c>
      <c r="O10" s="11" t="str">
        <f>'[2]ΣΥΣΤΑΣΗ ΤΡΟΦΙΜΩΝ'!N149</f>
        <v>-</v>
      </c>
      <c r="P10" s="11">
        <f>0.36*'[2]ΣΥΣΤΑΣΗ ΤΡΟΦΙΜΩΝ'!O149</f>
        <v>0.0288</v>
      </c>
      <c r="Q10" s="11">
        <f>0.36*'[2]ΣΥΣΤΑΣΗ ΤΡΟΦΙΜΩΝ'!P149</f>
        <v>1.44</v>
      </c>
      <c r="R10" s="11">
        <f>0.36*'[2]ΣΥΣΤΑΣΗ ΤΡΟΦΙΜΩΝ'!Q149</f>
        <v>18.72</v>
      </c>
      <c r="S10" s="11">
        <f>0.36*'[2]ΣΥΣΤΑΣΗ ΤΡΟΦΙΜΩΝ'!R149</f>
        <v>0.1512</v>
      </c>
      <c r="T10" s="11">
        <f>0.36*'[2]ΣΥΣΤΑΣΗ ΤΡΟΦΙΜΩΝ'!S149</f>
        <v>0.07919999999999999</v>
      </c>
      <c r="U10" s="11">
        <f>0.36*'[2]ΣΥΣΤΑΣΗ ΤΡΟΦΙΜΩΝ'!T149</f>
        <v>0.01296</v>
      </c>
      <c r="V10" s="16">
        <f>0.36*'[2]ΣΥΣΤΑΣΗ ΤΡΟΦΙΜΩΝ'!U149</f>
        <v>0.288</v>
      </c>
    </row>
    <row r="11" spans="1:22" ht="14.25">
      <c r="A11" s="15" t="s">
        <v>76</v>
      </c>
      <c r="B11" s="11">
        <v>20</v>
      </c>
      <c r="C11" s="11">
        <f>0.2*'[2]ΣΥΣΤΑΣΗ ΤΡΟΦΙΜΩΝ'!B27</f>
        <v>84</v>
      </c>
      <c r="D11" s="11" t="str">
        <f>'[2]ΣΥΣΤΑΣΗ ΤΡΟΦΙΜΩΝ'!C27</f>
        <v>tr</v>
      </c>
      <c r="E11" s="11">
        <f>0.2*'[2]ΣΥΣΤΑΣΗ ΤΡΟΦΙΜΩΝ'!D27</f>
        <v>21</v>
      </c>
      <c r="F11" s="11" t="str">
        <f>'[2]ΣΥΣΤΑΣΗ ΤΡΟΦΙΜΩΝ'!E27</f>
        <v>tr</v>
      </c>
      <c r="G11" s="11">
        <f>0.2*'[2]ΣΥΣΤΑΣΗ ΤΡΟΦΙΜΩΝ'!F27</f>
        <v>0</v>
      </c>
      <c r="H11" s="11">
        <f>0.2*'[2]ΣΥΣΤΑΣΗ ΤΡΟΦΙΜΩΝ'!G27</f>
        <v>0</v>
      </c>
      <c r="I11" s="11">
        <f>0.2*'[2]ΣΥΣΤΑΣΗ ΤΡΟΦΙΜΩΝ'!H27</f>
        <v>0</v>
      </c>
      <c r="J11" s="11">
        <f>0.2*'[2]ΣΥΣΤΑΣΗ ΤΡΟΦΙΜΩΝ'!I27</f>
        <v>0</v>
      </c>
      <c r="K11" s="11">
        <f>0.2*'[2]ΣΥΣΤΑΣΗ ΤΡΟΦΙΜΩΝ'!J27</f>
        <v>21</v>
      </c>
      <c r="L11" s="11">
        <f>0.2*'[2]ΣΥΣΤΑΣΗ ΤΡΟΦΙΜΩΝ'!K27</f>
        <v>0.4</v>
      </c>
      <c r="M11" s="11" t="str">
        <f>'[2]ΣΥΣΤΑΣΗ ΤΡΟΦΙΜΩΝ'!L27</f>
        <v>tr</v>
      </c>
      <c r="N11" s="11" t="str">
        <f>'[2]ΣΥΣΤΑΣΗ ΤΡΟΦΙΜΩΝ'!M27</f>
        <v>tr</v>
      </c>
      <c r="O11" s="11">
        <f>0.2*'[2]ΣΥΣΤΑΣΗ ΤΡΟΦΙΜΩΝ'!N27</f>
        <v>0</v>
      </c>
      <c r="P11" s="11">
        <f>0.2*'[2]ΣΥΣΤΑΣΗ ΤΡΟΦΙΜΩΝ'!O27</f>
        <v>0</v>
      </c>
      <c r="Q11" s="11" t="str">
        <f>'[2]ΣΥΣΤΑΣΗ ΤΡΟΦΙΜΩΝ'!P27</f>
        <v>tr</v>
      </c>
      <c r="R11" s="11">
        <f>0.2*'[2]ΣΥΣΤΑΣΗ ΤΡΟΦΙΜΩΝ'!Q27</f>
        <v>0.4</v>
      </c>
      <c r="S11" s="11" t="str">
        <f>'[2]ΣΥΣΤΑΣΗ ΤΡΟΦΙΜΩΝ'!R27</f>
        <v>tr</v>
      </c>
      <c r="T11" s="11">
        <f>0.2*'[2]ΣΥΣΤΑΣΗ ΤΡΟΦΙΜΩΝ'!S27</f>
        <v>0.04000000000000001</v>
      </c>
      <c r="U11" s="11">
        <f>0.2*'[2]ΣΥΣΤΑΣΗ ΤΡΟΦΙΜΩΝ'!T27</f>
        <v>0.004</v>
      </c>
      <c r="V11" s="16" t="str">
        <f>'[2]ΣΥΣΤΑΣΗ ΤΡΟΦΙΜΩΝ'!U27</f>
        <v>tr</v>
      </c>
    </row>
    <row r="12" spans="1:22" ht="14.25">
      <c r="A12" s="15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6"/>
    </row>
    <row r="13" spans="1:22" ht="14.25">
      <c r="A13" s="15" t="s">
        <v>75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6"/>
    </row>
    <row r="14" spans="1:22" ht="14.25">
      <c r="A14" s="15" t="s">
        <v>2</v>
      </c>
      <c r="B14" s="11">
        <f>SUM(B5:B13)-0.23*1003+0.19*1003</f>
        <v>1002.8799999999999</v>
      </c>
      <c r="C14" s="11">
        <f>SUM(C5:C13)+0.19*1003*9</f>
        <v>4097.33</v>
      </c>
      <c r="D14" s="11">
        <f>SUM(D5:D13)-0.23*1003</f>
        <v>219.14600000000002</v>
      </c>
      <c r="E14" s="11">
        <f>SUM(E5:E13)</f>
        <v>436.084</v>
      </c>
      <c r="F14" s="11">
        <f>SUM(F5:F13)</f>
        <v>63.848</v>
      </c>
      <c r="G14" s="11">
        <f>SUM(G5:G13)+0.19*1003</f>
        <v>245.526</v>
      </c>
      <c r="H14" s="11">
        <f aca="true" t="shared" si="0" ref="H14:V14">SUM(H5:H13)</f>
        <v>43.232</v>
      </c>
      <c r="I14" s="11">
        <f t="shared" si="0"/>
        <v>0</v>
      </c>
      <c r="J14" s="11">
        <f t="shared" si="0"/>
        <v>309</v>
      </c>
      <c r="K14" s="11">
        <f t="shared" si="0"/>
        <v>126.75920000000002</v>
      </c>
      <c r="L14" s="11">
        <f t="shared" si="0"/>
        <v>197.36</v>
      </c>
      <c r="M14" s="11">
        <f t="shared" si="0"/>
        <v>1604.64</v>
      </c>
      <c r="N14" s="11">
        <f t="shared" si="0"/>
        <v>602.32</v>
      </c>
      <c r="O14" s="11">
        <f t="shared" si="0"/>
        <v>1800</v>
      </c>
      <c r="P14" s="11">
        <f t="shared" si="0"/>
        <v>0.0928</v>
      </c>
      <c r="Q14" s="11">
        <f t="shared" si="0"/>
        <v>1219.64</v>
      </c>
      <c r="R14" s="11">
        <f t="shared" si="0"/>
        <v>1760.72</v>
      </c>
      <c r="S14" s="11">
        <f t="shared" si="0"/>
        <v>19.987199999999998</v>
      </c>
      <c r="T14" s="11">
        <f t="shared" si="0"/>
        <v>14.7952</v>
      </c>
      <c r="U14" s="11">
        <f t="shared" si="0"/>
        <v>2.29576</v>
      </c>
      <c r="V14" s="16">
        <f t="shared" si="0"/>
        <v>265.928</v>
      </c>
    </row>
    <row r="15" spans="1:22" ht="28.5">
      <c r="A15" s="18" t="s">
        <v>32</v>
      </c>
      <c r="B15" s="19">
        <v>100</v>
      </c>
      <c r="C15" s="19">
        <f aca="true" t="shared" si="1" ref="C15:V15">100*C14/$B$14</f>
        <v>408.55635768985326</v>
      </c>
      <c r="D15" s="19">
        <f t="shared" si="1"/>
        <v>21.851667198468416</v>
      </c>
      <c r="E15" s="19">
        <f t="shared" si="1"/>
        <v>43.483168474792606</v>
      </c>
      <c r="F15" s="19">
        <f t="shared" si="1"/>
        <v>6.36646458200383</v>
      </c>
      <c r="G15" s="19">
        <f t="shared" si="1"/>
        <v>24.482091576260377</v>
      </c>
      <c r="H15" s="19">
        <f t="shared" si="1"/>
        <v>4.310784939374601</v>
      </c>
      <c r="I15" s="19">
        <f t="shared" si="1"/>
        <v>0</v>
      </c>
      <c r="J15" s="19">
        <f t="shared" si="1"/>
        <v>30.811263560944482</v>
      </c>
      <c r="K15" s="19">
        <f t="shared" si="1"/>
        <v>12.63951818761966</v>
      </c>
      <c r="L15" s="19">
        <f t="shared" si="1"/>
        <v>19.67932354818124</v>
      </c>
      <c r="M15" s="19">
        <f t="shared" si="1"/>
        <v>160.00319081046587</v>
      </c>
      <c r="N15" s="19">
        <f t="shared" si="1"/>
        <v>60.059029993618395</v>
      </c>
      <c r="O15" s="19">
        <f t="shared" si="1"/>
        <v>179.48308870453099</v>
      </c>
      <c r="P15" s="19">
        <f t="shared" si="1"/>
        <v>0.009253350350989151</v>
      </c>
      <c r="Q15" s="19">
        <f t="shared" si="1"/>
        <v>121.61375239310787</v>
      </c>
      <c r="R15" s="19">
        <f t="shared" si="1"/>
        <v>175.56636885768987</v>
      </c>
      <c r="S15" s="19">
        <f t="shared" si="1"/>
        <v>1.9929802169751116</v>
      </c>
      <c r="T15" s="19">
        <f t="shared" si="1"/>
        <v>1.4752712188895982</v>
      </c>
      <c r="U15" s="19">
        <f t="shared" si="1"/>
        <v>0.22891671984684112</v>
      </c>
      <c r="V15" s="20">
        <f t="shared" si="1"/>
        <v>26.51643267389917</v>
      </c>
    </row>
    <row r="16" spans="24:47" ht="14.25"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9" spans="1:23" ht="45">
      <c r="A19" s="4"/>
      <c r="B19" s="5" t="s">
        <v>82</v>
      </c>
      <c r="C19" s="6" t="s">
        <v>83</v>
      </c>
      <c r="D19" s="6" t="s">
        <v>84</v>
      </c>
      <c r="E19" s="6" t="s">
        <v>18</v>
      </c>
      <c r="F19" s="6" t="s">
        <v>85</v>
      </c>
      <c r="G19" s="6" t="s">
        <v>86</v>
      </c>
      <c r="H19" s="6" t="s">
        <v>87</v>
      </c>
      <c r="I19" s="6" t="s">
        <v>88</v>
      </c>
      <c r="J19" s="6" t="s">
        <v>89</v>
      </c>
      <c r="K19" s="6" t="s">
        <v>90</v>
      </c>
      <c r="L19" s="6" t="s">
        <v>91</v>
      </c>
      <c r="M19" s="6" t="s">
        <v>92</v>
      </c>
      <c r="N19" s="6" t="s">
        <v>17</v>
      </c>
      <c r="O19" s="6" t="s">
        <v>16</v>
      </c>
      <c r="P19" s="6" t="s">
        <v>15</v>
      </c>
      <c r="Q19" s="6" t="s">
        <v>14</v>
      </c>
      <c r="R19" s="6" t="s">
        <v>13</v>
      </c>
      <c r="S19" s="6" t="s">
        <v>93</v>
      </c>
      <c r="T19" s="6" t="s">
        <v>94</v>
      </c>
      <c r="U19" s="7" t="s">
        <v>95</v>
      </c>
      <c r="V19" s="8"/>
      <c r="W19" s="8"/>
    </row>
    <row r="20" spans="1:21" ht="14.25">
      <c r="A20" s="12" t="s">
        <v>64</v>
      </c>
      <c r="B20" s="13">
        <f>5*'[2]ΣΥΣΤΑΣΗ ΤΡΟΦΙΜΩΝ'!V7</f>
        <v>0</v>
      </c>
      <c r="C20" s="13">
        <f>5*'[2]ΣΥΣΤΑΣΗ ΤΡΟΦΙΜΩΝ'!W7*0.8</f>
        <v>5.6000000000000005</v>
      </c>
      <c r="D20" s="13">
        <f>5*'[2]ΣΥΣΤΑΣΗ ΤΡΟΦΙΜΩΝ'!X7*0.9</f>
        <v>0.40499999999999997</v>
      </c>
      <c r="E20" s="13">
        <f>5*'[2]ΣΥΣΤΑΣΗ ΤΡΟΦΙΜΩΝ'!Y7</f>
        <v>0</v>
      </c>
      <c r="F20" s="13">
        <f>5*'[2]ΣΥΣΤΑΣΗ ΤΡΟΦΙΜΩΝ'!Z7*0.9</f>
        <v>3.15</v>
      </c>
      <c r="G20" s="13">
        <f>5*'[2]ΣΥΣΤΑΣΗ ΤΡΟΦΙΜΩΝ'!AA7*0.9</f>
        <v>2.25</v>
      </c>
      <c r="H20" s="13">
        <f>5*'[2]ΣΥΣΤΑΣΗ ΤΡΟΦΙΜΩΝ'!AB7</f>
        <v>0</v>
      </c>
      <c r="I20" s="13">
        <f>5*'[2]ΣΥΣΤΑΣΗ ΤΡΟΦΙΜΩΝ'!AC7*0.7</f>
        <v>199.5</v>
      </c>
      <c r="J20" s="13">
        <f>5*'[2]ΣΥΣΤΑΣΗ ΤΡΟΦΙΜΩΝ'!AD7</f>
        <v>0</v>
      </c>
      <c r="K20" s="13">
        <f>5*'[2]ΣΥΣΤΑΣΗ ΤΡΟΦΙΜΩΝ'!AE7</f>
        <v>0</v>
      </c>
      <c r="L20" s="13">
        <f>5*'[2]ΣΥΣΤΑΣΗ ΤΡΟΦΙΜΩΝ'!AF7</f>
        <v>0</v>
      </c>
      <c r="M20" s="13">
        <f>5*'[2]ΣΥΣΤΑΣΗ ΤΡΟΦΙΜΩΝ'!AG7</f>
        <v>7</v>
      </c>
      <c r="N20" s="13">
        <f>'[2]ΣΥΣΤΑΣΗ ΤΡΟΦΙΜΩΝ'!AH7</f>
        <v>6.387096774193548</v>
      </c>
      <c r="O20" s="13">
        <f>'[2]ΣΥΣΤΑΣΗ ΤΡΟΦΙΜΩΝ'!AI7</f>
        <v>16.387096774193548</v>
      </c>
      <c r="P20" s="13">
        <f>'[2]ΣΥΣΤΑΣΗ ΤΡΟΦΙΜΩΝ'!AJ7</f>
        <v>82.45161290322581</v>
      </c>
      <c r="Q20" s="13">
        <f>'[2]ΣΥΣΤΑΣΗ ΤΡΟΦΙΜΩΝ'!AK7</f>
        <v>0.8709677419354839</v>
      </c>
      <c r="R20" s="13">
        <f>'[2]ΣΥΣΤΑΣΗ ΤΡΟΦΙΜΩΝ'!AL7</f>
        <v>2.7096774193548385</v>
      </c>
      <c r="S20" s="13">
        <f>5*'[2]ΣΥΣΤΑΣΗ ΤΡΟΦΙΜΩΝ'!AM7</f>
        <v>1.5</v>
      </c>
      <c r="T20" s="13">
        <f>5*'[2]ΣΥΣΤΑΣΗ ΤΡΟΦΙΜΩΝ'!AN7</f>
        <v>1.5</v>
      </c>
      <c r="U20" s="14">
        <f>5*'[2]ΣΥΣΤΑΣΗ ΤΡΟΦΙΜΩΝ'!AO7</f>
        <v>5</v>
      </c>
    </row>
    <row r="21" spans="1:21" ht="14.25">
      <c r="A21" s="15" t="s">
        <v>80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6"/>
    </row>
    <row r="22" spans="1:21" ht="14.25">
      <c r="A22" s="15" t="s">
        <v>79</v>
      </c>
      <c r="B22" s="11" t="str">
        <f>'[2]ΣΥΣΤΑΣΗ ΤΡΟΦΙΜΩΝ'!V98</f>
        <v>n</v>
      </c>
      <c r="C22" s="11" t="str">
        <f>'[2]ΣΥΣΤΑΣΗ ΤΡΟΦΙΜΩΝ'!W98</f>
        <v>tr</v>
      </c>
      <c r="D22" s="11" t="str">
        <f>'[2]ΣΥΣΤΑΣΗ ΤΡΟΦΙΜΩΝ'!X98</f>
        <v>tr</v>
      </c>
      <c r="E22" s="11" t="str">
        <f>'[2]ΣΥΣΤΑΣΗ ΤΡΟΦΙΜΩΝ'!Y98</f>
        <v>tr</v>
      </c>
      <c r="F22" s="11" t="str">
        <f>'[2]ΣΥΣΤΑΣΗ ΤΡΟΦΙΜΩΝ'!Z98</f>
        <v>tr</v>
      </c>
      <c r="G22" s="11" t="str">
        <f>'[2]ΣΥΣΤΑΣΗ ΤΡΟΦΙΜΩΝ'!AA98</f>
        <v>tr</v>
      </c>
      <c r="H22" s="11">
        <f>'[2]ΣΥΣΤΑΣΗ ΤΡΟΦΙΜΩΝ'!AB98</f>
        <v>0</v>
      </c>
      <c r="I22" s="11" t="str">
        <f>'[2]ΣΥΣΤΑΣΗ ΤΡΟΦΙΜΩΝ'!AC98</f>
        <v>tr</v>
      </c>
      <c r="J22" s="11">
        <f>0.44*'[2]ΣΥΣΤΑΣΗ ΤΡΟΦΙΜΩΝ'!AD98</f>
        <v>0</v>
      </c>
      <c r="K22" s="11">
        <f>0.44*'[2]ΣΥΣΤΑΣΗ ΤΡΟΦΙΜΩΝ'!AE98</f>
        <v>0</v>
      </c>
      <c r="L22" s="11">
        <f>0.44*'[2]ΣΥΣΤΑΣΗ ΤΡΟΦΙΜΩΝ'!AF98</f>
        <v>0</v>
      </c>
      <c r="M22" s="11">
        <f>0.44*'[2]ΣΥΣΤΑΣΗ ΤΡΟΦΙΜΩΝ'!AG98</f>
        <v>6.6704</v>
      </c>
      <c r="N22" s="11">
        <f>'[2]ΣΥΣΤΑΣΗ ΤΡΟΦΙΜΩΝ'!AH98</f>
        <v>100.0111234705228</v>
      </c>
      <c r="O22" s="11">
        <v>0</v>
      </c>
      <c r="P22" s="11">
        <f>'[2]ΣΥΣΤΑΣΗ ΤΡΟΦΙΜΩΝ'!AJ98</f>
        <v>0</v>
      </c>
      <c r="Q22" s="11">
        <f>'[2]ΣΥΣΤΑΣΗ ΤΡΟΦΙΜΩΝ'!AK98</f>
        <v>18.82091212458287</v>
      </c>
      <c r="R22" s="11">
        <f>'[2]ΣΥΣΤΑΣΗ ΤΡΟΦΙΜΩΝ'!AL98</f>
        <v>0</v>
      </c>
      <c r="S22" s="11">
        <f>0.44*'[2]ΣΥΣΤΑΣΗ ΤΡΟΦΙΜΩΝ'!AM98</f>
        <v>8.272</v>
      </c>
      <c r="T22" s="11">
        <f>0.44*'[2]ΣΥΣΤΑΣΗ ΤΡΟΦΙΜΩΝ'!AN98</f>
        <v>21.032</v>
      </c>
      <c r="U22" s="16">
        <f>0.44*'[2]ΣΥΣΤΑΣΗ ΤΡΟΦΙΜΩΝ'!AO98</f>
        <v>12.540000000000001</v>
      </c>
    </row>
    <row r="23" spans="1:21" ht="14.25">
      <c r="A23" s="15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6"/>
    </row>
    <row r="24" spans="1:21" ht="14.25">
      <c r="A24" s="15" t="s">
        <v>78</v>
      </c>
      <c r="B24" s="11">
        <f>0.8*'[2]ΣΥΣΤΑΣΗ ΤΡΟΦΙΜΩΝ'!V149</f>
        <v>0</v>
      </c>
      <c r="C24" s="11">
        <f>0.8*'[2]ΣΥΣΤΑΣΗ ΤΡΟΦΙΜΩΝ'!W149</f>
        <v>0</v>
      </c>
      <c r="D24" s="11">
        <f>0.8*'[2]ΣΥΣΤΑΣΗ ΤΡΟΦΙΜΩΝ'!X149</f>
        <v>0.0304</v>
      </c>
      <c r="E24" s="11">
        <f>0.8*'[2]ΣΥΣΤΑΣΗ ΤΡΟΦΙΜΩΝ'!Y149</f>
        <v>0</v>
      </c>
      <c r="F24" s="11">
        <f>0.8*'[2]ΣΥΣΤΑΣΗ ΤΡΟΦΙΜΩΝ'!Z149</f>
        <v>0.0968</v>
      </c>
      <c r="G24" s="11">
        <f>0.8*'[2]ΣΥΣΤΑΣΗ ΤΡΟΦΙΜΩΝ'!AA149</f>
        <v>0.019200000000000002</v>
      </c>
      <c r="H24" s="11">
        <f>0.8*'[2]ΣΥΣΤΑΣΗ ΤΡΟΦΙΜΩΝ'!AB149</f>
        <v>0</v>
      </c>
      <c r="I24" s="11">
        <f>0.8*'[2]ΣΥΣΤΑΣΗ ΤΡΟΦΙΜΩΝ'!AC149</f>
        <v>1.6</v>
      </c>
      <c r="J24" s="11">
        <f>0.8*'[2]ΣΥΣΤΑΣΗ ΤΡΟΦΙΜΩΝ'!AD149</f>
        <v>0.4</v>
      </c>
      <c r="K24" s="11">
        <f>0.8*'[2]ΣΥΣΤΑΣΗ ΤΡΟΦΙΜΩΝ'!AE149</f>
        <v>0</v>
      </c>
      <c r="L24" s="11">
        <f>0.8*'[2]ΣΥΣΤΑΣΗ ΤΡΟΦΙΜΩΝ'!AF149</f>
        <v>0</v>
      </c>
      <c r="M24" s="11">
        <f>0.8*'[2]ΣΥΣΤΑΣΗ ΤΡΟΦΙΜΩΝ'!AG149</f>
        <v>0</v>
      </c>
      <c r="N24" s="11">
        <f>'[2]ΣΥΣΤΑΣΗ ΤΡΟΦΙΜΩΝ'!AH149</f>
        <v>0</v>
      </c>
      <c r="O24" s="11">
        <f>'[2]ΣΥΣΤΑΣΗ ΤΡΟΦΙΜΩΝ'!AI149</f>
        <v>0.39473684210526316</v>
      </c>
      <c r="P24" s="11">
        <f>'[2]ΣΥΣΤΑΣΗ ΤΡΟΦΙΜΩΝ'!AJ149</f>
        <v>108.42105263157895</v>
      </c>
      <c r="Q24" s="11">
        <f>'[2]ΣΥΣΤΑΣΗ ΤΡΟΦΙΜΩΝ'!AK149</f>
        <v>0</v>
      </c>
      <c r="R24" s="11">
        <f>'[2]ΣΥΣΤΑΣΗ ΤΡΟΦΙΜΩΝ'!AL149</f>
        <v>108.05263157894737</v>
      </c>
      <c r="S24" s="11">
        <f>0.8*'[2]ΣΥΣΤΑΣΗ ΤΡΟΦΙΜΩΝ'!AM149</f>
        <v>0</v>
      </c>
      <c r="T24" s="11">
        <f>0.8*'[2]ΣΥΣΤΑΣΗ ΤΡΟΦΙΜΩΝ'!AN149</f>
        <v>0</v>
      </c>
      <c r="U24" s="16">
        <f>0.8*'[2]ΣΥΣΤΑΣΗ ΤΡΟΦΙΜΩΝ'!AO149</f>
        <v>0</v>
      </c>
    </row>
    <row r="25" spans="1:21" ht="14.25">
      <c r="A25" s="15" t="s">
        <v>77</v>
      </c>
      <c r="B25" s="11">
        <f>0.36*'[2]ΣΥΣΤΑΣΗ ΤΡΟΦΙΜΩΝ'!V149</f>
        <v>0</v>
      </c>
      <c r="C25" s="11">
        <f>0.36*'[2]ΣΥΣΤΑΣΗ ΤΡΟΦΙΜΩΝ'!W149</f>
        <v>0</v>
      </c>
      <c r="D25" s="11">
        <f>0.36*'[2]ΣΥΣΤΑΣΗ ΤΡΟΦΙΜΩΝ'!X149</f>
        <v>0.01368</v>
      </c>
      <c r="E25" s="11">
        <f>0.36*'[2]ΣΥΣΤΑΣΗ ΤΡΟΦΙΜΩΝ'!Y149</f>
        <v>0</v>
      </c>
      <c r="F25" s="11">
        <f>0.36*'[2]ΣΥΣΤΑΣΗ ΤΡΟΦΙΜΩΝ'!Z149</f>
        <v>0.043559999999999995</v>
      </c>
      <c r="G25" s="11">
        <f>0.36*'[2]ΣΥΣΤΑΣΗ ΤΡΟΦΙΜΩΝ'!AA149</f>
        <v>0.00864</v>
      </c>
      <c r="H25" s="11">
        <f>0.36*'[2]ΣΥΣΤΑΣΗ ΤΡΟΦΙΜΩΝ'!AB149</f>
        <v>0</v>
      </c>
      <c r="I25" s="11">
        <f>0.36*'[2]ΣΥΣΤΑΣΗ ΤΡΟΦΙΜΩΝ'!AC149</f>
        <v>0.72</v>
      </c>
      <c r="J25" s="11">
        <f>0.36*'[2]ΣΥΣΤΑΣΗ ΤΡΟΦΙΜΩΝ'!AD149</f>
        <v>0.18</v>
      </c>
      <c r="K25" s="11">
        <f>0.36*'[2]ΣΥΣΤΑΣΗ ΤΡΟΦΙΜΩΝ'!AE149</f>
        <v>0</v>
      </c>
      <c r="L25" s="11">
        <f>0.36*'[2]ΣΥΣΤΑΣΗ ΤΡΟΦΙΜΩΝ'!AF149</f>
        <v>0</v>
      </c>
      <c r="M25" s="11">
        <f>0.36*'[2]ΣΥΣΤΑΣΗ ΤΡΟΦΙΜΩΝ'!AG149</f>
        <v>0</v>
      </c>
      <c r="N25" s="11">
        <f>'[2]ΣΥΣΤΑΣΗ ΤΡΟΦΙΜΩΝ'!AH149</f>
        <v>0</v>
      </c>
      <c r="O25" s="11">
        <f>'[2]ΣΥΣΤΑΣΗ ΤΡΟΦΙΜΩΝ'!AI149</f>
        <v>0.39473684210526316</v>
      </c>
      <c r="P25" s="11">
        <f>'[2]ΣΥΣΤΑΣΗ ΤΡΟΦΙΜΩΝ'!AJ149</f>
        <v>108.42105263157895</v>
      </c>
      <c r="Q25" s="11">
        <f>'[2]ΣΥΣΤΑΣΗ ΤΡΟΦΙΜΩΝ'!AK149</f>
        <v>0</v>
      </c>
      <c r="R25" s="11">
        <f>'[2]ΣΥΣΤΑΣΗ ΤΡΟΦΙΜΩΝ'!AL149</f>
        <v>108.05263157894737</v>
      </c>
      <c r="S25" s="11">
        <f>0.36*'[2]ΣΥΣΤΑΣΗ ΤΡΟΦΙΜΩΝ'!AM149</f>
        <v>0</v>
      </c>
      <c r="T25" s="11">
        <f>0.36*'[2]ΣΥΣΤΑΣΗ ΤΡΟΦΙΜΩΝ'!AN149</f>
        <v>0</v>
      </c>
      <c r="U25" s="16">
        <f>0.36*'[2]ΣΥΣΤΑΣΗ ΤΡΟΦΙΜΩΝ'!AO149</f>
        <v>0</v>
      </c>
    </row>
    <row r="26" spans="1:21" ht="14.25">
      <c r="A26" s="15" t="s">
        <v>76</v>
      </c>
      <c r="B26" s="11" t="str">
        <f>'[2]ΣΥΣΤΑΣΗ ΤΡΟΦΙΜΩΝ'!V27</f>
        <v>tr</v>
      </c>
      <c r="C26" s="11">
        <f>0.2*'[2]ΣΥΣΤΑΣΗ ΤΡΟΦΙΜΩΝ'!W27</f>
        <v>0</v>
      </c>
      <c r="D26" s="11">
        <f>0.2*'[2]ΣΥΣΤΑΣΗ ΤΡΟΦΙΜΩΝ'!X27</f>
        <v>0</v>
      </c>
      <c r="E26" s="11">
        <f>0.2*'[2]ΣΥΣΤΑΣΗ ΤΡΟΦΙΜΩΝ'!Y27</f>
        <v>0</v>
      </c>
      <c r="F26" s="11">
        <f>0.2*'[2]ΣΥΣΤΑΣΗ ΤΡΟΦΙΜΩΝ'!Z27</f>
        <v>0</v>
      </c>
      <c r="G26" s="11">
        <f>0.2*'[2]ΣΥΣΤΑΣΗ ΤΡΟΦΙΜΩΝ'!AA27</f>
        <v>0</v>
      </c>
      <c r="H26" s="11">
        <f>0.2*'[2]ΣΥΣΤΑΣΗ ΤΡΟΦΙΜΩΝ'!AB27</f>
        <v>0</v>
      </c>
      <c r="I26" s="11">
        <f>0.2*'[2]ΣΥΣΤΑΣΗ ΤΡΟΦΙΜΩΝ'!AC27</f>
        <v>0</v>
      </c>
      <c r="J26" s="11">
        <f>0.2*'[2]ΣΥΣΤΑΣΗ ΤΡΟΦΙΜΩΝ'!AD27</f>
        <v>0</v>
      </c>
      <c r="K26" s="11">
        <f>0.2*'[2]ΣΥΣΤΑΣΗ ΤΡΟΦΙΜΩΝ'!AE27</f>
        <v>0</v>
      </c>
      <c r="L26" s="11">
        <f>0.2*'[2]ΣΥΣΤΑΣΗ ΤΡΟΦΙΜΩΝ'!AF27</f>
        <v>0</v>
      </c>
      <c r="M26" s="11">
        <f>0.2*'[2]ΣΥΣΤΑΣΗ ΤΡΟΦΙΜΩΝ'!AG27</f>
        <v>0</v>
      </c>
      <c r="N26" s="11">
        <f>'[2]ΣΥΣΤΑΣΗ ΤΡΟΦΙΜΩΝ'!AH27</f>
        <v>0</v>
      </c>
      <c r="O26" s="11">
        <v>0</v>
      </c>
      <c r="P26" s="11">
        <f>'[2]ΣΥΣΤΑΣΗ ΤΡΟΦΙΜΩΝ'!AJ27</f>
        <v>100</v>
      </c>
      <c r="Q26" s="11">
        <f>'[2]ΣΥΣΤΑΣΗ ΤΡΟΦΙΜΩΝ'!AK27</f>
        <v>0</v>
      </c>
      <c r="R26" s="11">
        <f>'[2]ΣΥΣΤΑΣΗ ΤΡΟΦΙΜΩΝ'!AL27</f>
        <v>100</v>
      </c>
      <c r="S26" s="11">
        <f>0.2*'[2]ΣΥΣΤΑΣΗ ΤΡΟΦΙΜΩΝ'!AM27</f>
        <v>0</v>
      </c>
      <c r="T26" s="11">
        <f>0.2*'[2]ΣΥΣΤΑΣΗ ΤΡΟΦΙΜΩΝ'!AN27</f>
        <v>0</v>
      </c>
      <c r="U26" s="16">
        <f>0.2*'[2]ΣΥΣΤΑΣΗ ΤΡΟΦΙΜΩΝ'!AO27</f>
        <v>0</v>
      </c>
    </row>
    <row r="27" spans="1:21" ht="14.25">
      <c r="A27" s="15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6"/>
    </row>
    <row r="28" spans="1:21" ht="14.25">
      <c r="A28" s="15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6"/>
    </row>
    <row r="29" spans="1:21" ht="14.25">
      <c r="A29" s="15" t="s">
        <v>2</v>
      </c>
      <c r="B29" s="11">
        <f aca="true" t="shared" si="2" ref="B29:M29">SUM(B20:B28)</f>
        <v>0</v>
      </c>
      <c r="C29" s="11">
        <f t="shared" si="2"/>
        <v>5.6000000000000005</v>
      </c>
      <c r="D29" s="11">
        <f t="shared" si="2"/>
        <v>0.44908</v>
      </c>
      <c r="E29" s="11">
        <f t="shared" si="2"/>
        <v>0</v>
      </c>
      <c r="F29" s="11">
        <f t="shared" si="2"/>
        <v>3.2903599999999997</v>
      </c>
      <c r="G29" s="11">
        <f t="shared" si="2"/>
        <v>2.2778400000000003</v>
      </c>
      <c r="H29" s="11">
        <f t="shared" si="2"/>
        <v>0</v>
      </c>
      <c r="I29" s="11">
        <f t="shared" si="2"/>
        <v>201.82</v>
      </c>
      <c r="J29" s="11">
        <f t="shared" si="2"/>
        <v>0.5800000000000001</v>
      </c>
      <c r="K29" s="11">
        <f t="shared" si="2"/>
        <v>0</v>
      </c>
      <c r="L29" s="11">
        <f t="shared" si="2"/>
        <v>0</v>
      </c>
      <c r="M29" s="11">
        <f t="shared" si="2"/>
        <v>13.6704</v>
      </c>
      <c r="N29" s="10">
        <f>9*G14*100/C14</f>
        <v>53.93107218603334</v>
      </c>
      <c r="O29" s="10">
        <f>4*F14*100/C14</f>
        <v>6.233132308112845</v>
      </c>
      <c r="P29" s="10">
        <f>4*E14*100/C14</f>
        <v>42.572504533440075</v>
      </c>
      <c r="Q29" s="11">
        <f>9*S29*100/C14</f>
        <v>2.1464709945257034</v>
      </c>
      <c r="R29" s="11">
        <f>4*K14*100/C14</f>
        <v>12.37480993720301</v>
      </c>
      <c r="S29" s="11">
        <f>SUM(S20:S28)</f>
        <v>9.772</v>
      </c>
      <c r="T29" s="11">
        <f>SUM(T20:T28)</f>
        <v>22.532</v>
      </c>
      <c r="U29" s="16">
        <f>SUM(U20:U28)</f>
        <v>17.54</v>
      </c>
    </row>
    <row r="30" spans="1:21" ht="28.5">
      <c r="A30" s="18" t="s">
        <v>32</v>
      </c>
      <c r="B30" s="19">
        <f aca="true" t="shared" si="3" ref="B30:M30">100*B29/$B$14</f>
        <v>0</v>
      </c>
      <c r="C30" s="19">
        <f t="shared" si="3"/>
        <v>0.5583918315252074</v>
      </c>
      <c r="D30" s="19">
        <f t="shared" si="3"/>
        <v>0.04477903637523932</v>
      </c>
      <c r="E30" s="19">
        <f t="shared" si="3"/>
        <v>0</v>
      </c>
      <c r="F30" s="19">
        <f t="shared" si="3"/>
        <v>0.32809109763880023</v>
      </c>
      <c r="G30" s="19">
        <f t="shared" si="3"/>
        <v>0.2271298659859605</v>
      </c>
      <c r="H30" s="19">
        <f t="shared" si="3"/>
        <v>0</v>
      </c>
      <c r="I30" s="19">
        <f t="shared" si="3"/>
        <v>20.124042756860245</v>
      </c>
      <c r="J30" s="19">
        <f t="shared" si="3"/>
        <v>0.05783343969368221</v>
      </c>
      <c r="K30" s="19">
        <f t="shared" si="3"/>
        <v>0</v>
      </c>
      <c r="L30" s="19">
        <f t="shared" si="3"/>
        <v>0</v>
      </c>
      <c r="M30" s="19">
        <f t="shared" si="3"/>
        <v>1.3631142310146778</v>
      </c>
      <c r="N30" s="19"/>
      <c r="O30" s="19"/>
      <c r="P30" s="19"/>
      <c r="Q30" s="19"/>
      <c r="R30" s="19"/>
      <c r="S30" s="19">
        <f>100*S29/$B$14</f>
        <v>0.9743937460114871</v>
      </c>
      <c r="T30" s="19">
        <f>100*T29/$B$14</f>
        <v>2.246729419272495</v>
      </c>
      <c r="U30" s="20">
        <f>100*U29/$B$14</f>
        <v>1.7489629865985963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8"/>
  <sheetViews>
    <sheetView view="pageLayout" zoomScale="70" zoomScaleNormal="70" zoomScalePageLayoutView="70" workbookViewId="0" topLeftCell="D31">
      <selection activeCell="A35" sqref="A35"/>
    </sheetView>
  </sheetViews>
  <sheetFormatPr defaultColWidth="9.140625" defaultRowHeight="15"/>
  <cols>
    <col min="1" max="1" width="28.140625" style="2" customWidth="1"/>
    <col min="2" max="3" width="9.140625" style="1" customWidth="1"/>
    <col min="4" max="4" width="10.57421875" style="1" customWidth="1"/>
    <col min="5" max="5" width="16.28125" style="1" customWidth="1"/>
    <col min="6" max="8" width="9.140625" style="1" customWidth="1"/>
    <col min="9" max="9" width="13.00390625" style="1" customWidth="1"/>
    <col min="10" max="12" width="9.140625" style="1" customWidth="1"/>
    <col min="13" max="13" width="12.28125" style="1" customWidth="1"/>
    <col min="14" max="14" width="11.8515625" style="1" customWidth="1"/>
    <col min="15" max="15" width="11.421875" style="1" customWidth="1"/>
    <col min="16" max="16" width="14.140625" style="1" customWidth="1"/>
    <col min="17" max="17" width="10.421875" style="1" customWidth="1"/>
    <col min="18" max="18" width="11.28125" style="1" customWidth="1"/>
    <col min="19" max="19" width="10.57421875" style="1" customWidth="1"/>
    <col min="20" max="21" width="9.140625" style="1" customWidth="1"/>
    <col min="22" max="22" width="10.140625" style="1" customWidth="1"/>
    <col min="23" max="31" width="9.140625" style="1" customWidth="1"/>
    <col min="32" max="32" width="11.00390625" style="1" customWidth="1"/>
    <col min="33" max="16384" width="9.140625" style="1" customWidth="1"/>
  </cols>
  <sheetData>
    <row r="1" spans="1:47" s="21" customFormat="1" ht="18.75">
      <c r="A1" s="26" t="s">
        <v>121</v>
      </c>
      <c r="B1" s="26"/>
      <c r="C1" s="26"/>
      <c r="D1" s="26"/>
      <c r="AQ1" s="22"/>
      <c r="AR1" s="22"/>
      <c r="AS1" s="22"/>
      <c r="AT1" s="22"/>
      <c r="AU1" s="22"/>
    </row>
    <row r="2" spans="1:4" s="21" customFormat="1" ht="18">
      <c r="A2" s="26" t="s">
        <v>122</v>
      </c>
      <c r="B2" s="26"/>
      <c r="C2" s="26"/>
      <c r="D2" s="26"/>
    </row>
    <row r="4" spans="1:47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22" ht="14.25">
      <c r="A5" s="12" t="s">
        <v>61</v>
      </c>
      <c r="B5" s="13">
        <v>250</v>
      </c>
      <c r="C5" s="13">
        <f>2.5*'[2]ΣΥΣΤΑΣΗ ΤΡΟΦΙΜΩΝ'!B6</f>
        <v>899.5</v>
      </c>
      <c r="D5" s="13">
        <f>2.5*'[2]ΣΥΣΤΑΣΗ ΤΡΟΦΙΜΩΝ'!C6</f>
        <v>35</v>
      </c>
      <c r="E5" s="13">
        <f>2.5*'[2]ΣΥΣΤΑΣΗ ΤΡΟΦΙΜΩΝ'!D6</f>
        <v>188.25</v>
      </c>
      <c r="F5" s="13">
        <f>2.5*'[2]ΣΥΣΤΑΣΗ ΤΡΟΦΙΜΩΝ'!E6</f>
        <v>28.75</v>
      </c>
      <c r="G5" s="13">
        <f>2.5*'[2]ΣΥΣΤΑΣΗ ΤΡΟΦΙΜΩΝ'!F6</f>
        <v>3.5</v>
      </c>
      <c r="H5" s="13">
        <f>2.5*'[2]ΣΥΣΤΑΣΗ ΤΡΟΦΙΜΩΝ'!G6</f>
        <v>9.25</v>
      </c>
      <c r="I5" s="13">
        <f>2.5*'[2]ΣΥΣΤΑΣΗ ΤΡΟΦΙΜΩΝ'!H6</f>
        <v>0</v>
      </c>
      <c r="J5" s="13">
        <f>2.5*'[2]ΣΥΣΤΑΣΗ ΤΡΟΦΙΜΩΝ'!I6</f>
        <v>184.75</v>
      </c>
      <c r="K5" s="13">
        <f>2.5*'[2]ΣΥΣΤΑΣΗ ΤΡΟΦΙΜΩΝ'!J6</f>
        <v>3.5</v>
      </c>
      <c r="L5" s="13">
        <f>2.5*'[2]ΣΥΣΤΑΣΗ ΤΡΟΦΙΜΩΝ'!K6</f>
        <v>37.5</v>
      </c>
      <c r="M5" s="13">
        <f>2.5*'[2]ΣΥΣΤΑΣΗ ΤΡΟΦΙΜΩΝ'!L6</f>
        <v>300</v>
      </c>
      <c r="N5" s="13">
        <f>2.5*'[2]ΣΥΣΤΑΣΗ ΤΡΟΦΙΜΩΝ'!M6</f>
        <v>77.5</v>
      </c>
      <c r="O5" s="13">
        <f>2.5*'[2]ΣΥΣΤΑΣΗ ΤΡΟΦΙΜΩΝ'!N6</f>
        <v>0</v>
      </c>
      <c r="P5" s="13">
        <f>2.5*'[2]ΣΥΣΤΑΣΗ ΤΡΟΦΙΜΩΝ'!O6</f>
        <v>0</v>
      </c>
      <c r="Q5" s="13">
        <f>2.5*'[2]ΣΥΣΤΑΣΗ ΤΡΟΦΙΜΩΝ'!P6</f>
        <v>7.5</v>
      </c>
      <c r="R5" s="13">
        <f>2.5*'[2]ΣΥΣΤΑΣΗ ΤΡΟΦΙΜΩΝ'!Q6</f>
        <v>325</v>
      </c>
      <c r="S5" s="13">
        <f>2.5*'[2]ΣΥΣΤΑΣΗ ΤΡΟΦΙΜΩΝ'!R6</f>
        <v>3.75</v>
      </c>
      <c r="T5" s="13">
        <f>2.5*'[2]ΣΥΣΤΑΣΗ ΤΡΟΦΙΜΩΝ'!S6</f>
        <v>2.25</v>
      </c>
      <c r="U5" s="13">
        <f>2.5*'[2]ΣΥΣΤΑΣΗ ΤΡΟΦΙΜΩΝ'!T6</f>
        <v>0.44999999999999996</v>
      </c>
      <c r="V5" s="14">
        <f>2.5*'[2]ΣΥΣΤΑΣΗ ΤΡΟΦΙΜΩΝ'!U6</f>
        <v>105</v>
      </c>
    </row>
    <row r="6" spans="1:22" ht="14.25">
      <c r="A6" s="15" t="s">
        <v>41</v>
      </c>
      <c r="B6" s="11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1800</v>
      </c>
      <c r="P6" s="11"/>
      <c r="Q6" s="11">
        <v>1200</v>
      </c>
      <c r="R6" s="11"/>
      <c r="S6" s="11"/>
      <c r="T6" s="11"/>
      <c r="U6" s="11"/>
      <c r="V6" s="16"/>
    </row>
    <row r="7" spans="1:22" ht="14.25">
      <c r="A7" s="15" t="s">
        <v>60</v>
      </c>
      <c r="B7" s="11">
        <v>36</v>
      </c>
      <c r="C7" s="11">
        <f>0.36*'[2]ΣΥΣΤΑΣΗ ΤΡΟΦΙΜΩΝ'!B98</f>
        <v>323.64</v>
      </c>
      <c r="D7" s="11" t="s">
        <v>24</v>
      </c>
      <c r="E7" s="11">
        <f>0.36*'[2]ΣΥΣΤΑΣΗ ΤΡΟΦΙΜΩΝ'!D98</f>
        <v>0</v>
      </c>
      <c r="F7" s="11" t="str">
        <f>'[2]ΣΥΣΤΑΣΗ ΤΡΟΦΙΜΩΝ'!E98</f>
        <v>tr</v>
      </c>
      <c r="G7" s="11">
        <f>0.36*'[2]ΣΥΣΤΑΣΗ ΤΡΟΦΙΜΩΝ'!F98</f>
        <v>35.964</v>
      </c>
      <c r="H7" s="11">
        <f>0.36*'[2]ΣΥΣΤΑΣΗ ΤΡΟΦΙΜΩΝ'!G98</f>
        <v>0</v>
      </c>
      <c r="I7" s="11">
        <f>0.36*'[2]ΣΥΣΤΑΣΗ ΤΡΟΦΙΜΩΝ'!H98</f>
        <v>0</v>
      </c>
      <c r="J7" s="11">
        <f>0.36*'[2]ΣΥΣΤΑΣΗ ΤΡΟΦΙΜΩΝ'!I98</f>
        <v>0</v>
      </c>
      <c r="K7" s="11">
        <f>0.36*'[2]ΣΥΣΤΑΣΗ ΤΡΟΦΙΜΩΝ'!J98</f>
        <v>0</v>
      </c>
      <c r="L7" s="11" t="str">
        <f>'[2]ΣΥΣΤΑΣΗ ΤΡΟΦΙΜΩΝ'!K98</f>
        <v>tr</v>
      </c>
      <c r="M7" s="11" t="str">
        <f>'[2]ΣΥΣΤΑΣΗ ΤΡΟΦΙΜΩΝ'!L98</f>
        <v>tr</v>
      </c>
      <c r="N7" s="11" t="str">
        <f>'[2]ΣΥΣΤΑΣΗ ΤΡΟΦΙΜΩΝ'!M98</f>
        <v>tr</v>
      </c>
      <c r="O7" s="11" t="str">
        <f>'[2]ΣΥΣΤΑΣΗ ΤΡΟΦΙΜΩΝ'!N98</f>
        <v>tr</v>
      </c>
      <c r="P7" s="11" t="str">
        <f>'[2]ΣΥΣΤΑΣΗ ΤΡΟΦΙΜΩΝ'!O98</f>
        <v>tr</v>
      </c>
      <c r="Q7" s="11" t="str">
        <f>'[2]ΣΥΣΤΑΣΗ ΤΡΟΦΙΜΩΝ'!P98</f>
        <v>tr</v>
      </c>
      <c r="R7" s="11" t="str">
        <f>'[2]ΣΥΣΤΑΣΗ ΤΡΟΦΙΜΩΝ'!Q98</f>
        <v>tr</v>
      </c>
      <c r="S7" s="11" t="str">
        <f>'[2]ΣΥΣΤΑΣΗ ΤΡΟΦΙΜΩΝ'!R98</f>
        <v>tr</v>
      </c>
      <c r="T7" s="11" t="str">
        <f>'[2]ΣΥΣΤΑΣΗ ΤΡΟΦΙΜΩΝ'!S98</f>
        <v>tr</v>
      </c>
      <c r="U7" s="11" t="str">
        <f>'[2]ΣΥΣΤΑΣΗ ΤΡΟΦΙΜΩΝ'!T98</f>
        <v>tr</v>
      </c>
      <c r="V7" s="16" t="str">
        <f>'[2]ΣΥΣΤΑΣΗ ΤΡΟΦΙΜΩΝ'!U98</f>
        <v>tr</v>
      </c>
    </row>
    <row r="8" spans="1:22" ht="14.25">
      <c r="A8" s="15" t="s">
        <v>38</v>
      </c>
      <c r="B8" s="11">
        <v>125</v>
      </c>
      <c r="C8" s="11"/>
      <c r="D8" s="11">
        <v>125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/>
    </row>
    <row r="9" spans="1:22" ht="14.25">
      <c r="A9" s="15" t="s">
        <v>123</v>
      </c>
      <c r="B9" s="11">
        <v>120</v>
      </c>
      <c r="C9" s="11">
        <f>1.2*'[2]ΣΥΣΤΑΣΗ ΤΡΟΦΙΜΩΝ'!B98</f>
        <v>1078.8</v>
      </c>
      <c r="D9" s="11" t="str">
        <f>'[2]ΣΥΣΤΑΣΗ ΤΡΟΦΙΜΩΝ'!C98</f>
        <v>tr</v>
      </c>
      <c r="E9" s="11">
        <f>1.2*'[2]ΣΥΣΤΑΣΗ ΤΡΟΦΙΜΩΝ'!D98</f>
        <v>0</v>
      </c>
      <c r="F9" s="11" t="str">
        <f>'[2]ΣΥΣΤΑΣΗ ΤΡΟΦΙΜΩΝ'!E98</f>
        <v>tr</v>
      </c>
      <c r="G9" s="11">
        <f>1.2*'[2]ΣΥΣΤΑΣΗ ΤΡΟΦΙΜΩΝ'!F98</f>
        <v>119.88</v>
      </c>
      <c r="H9" s="11">
        <f>1.2*'[2]ΣΥΣΤΑΣΗ ΤΡΟΦΙΜΩΝ'!G98</f>
        <v>0</v>
      </c>
      <c r="I9" s="11">
        <f>1.2*'[2]ΣΥΣΤΑΣΗ ΤΡΟΦΙΜΩΝ'!H98</f>
        <v>0</v>
      </c>
      <c r="J9" s="11">
        <f>1.2*'[2]ΣΥΣΤΑΣΗ ΤΡΟΦΙΜΩΝ'!I98</f>
        <v>0</v>
      </c>
      <c r="K9" s="11">
        <f>1.2*'[2]ΣΥΣΤΑΣΗ ΤΡΟΦΙΜΩΝ'!J98</f>
        <v>0</v>
      </c>
      <c r="L9" s="11" t="str">
        <f>'[2]ΣΥΣΤΑΣΗ ΤΡΟΦΙΜΩΝ'!K98</f>
        <v>tr</v>
      </c>
      <c r="M9" s="11" t="str">
        <f>'[2]ΣΥΣΤΑΣΗ ΤΡΟΦΙΜΩΝ'!L98</f>
        <v>tr</v>
      </c>
      <c r="N9" s="11" t="str">
        <f>'[2]ΣΥΣΤΑΣΗ ΤΡΟΦΙΜΩΝ'!M98</f>
        <v>tr</v>
      </c>
      <c r="O9" s="11" t="str">
        <f>'[2]ΣΥΣΤΑΣΗ ΤΡΟΦΙΜΩΝ'!N98</f>
        <v>tr</v>
      </c>
      <c r="P9" s="11" t="str">
        <f>'[2]ΣΥΣΤΑΣΗ ΤΡΟΦΙΜΩΝ'!O98</f>
        <v>tr</v>
      </c>
      <c r="Q9" s="11" t="str">
        <f>'[2]ΣΥΣΤΑΣΗ ΤΡΟΦΙΜΩΝ'!P98</f>
        <v>tr</v>
      </c>
      <c r="R9" s="11" t="str">
        <f>'[2]ΣΥΣΤΑΣΗ ΤΡΟΦΙΜΩΝ'!Q98</f>
        <v>tr</v>
      </c>
      <c r="S9" s="11" t="str">
        <f>'[2]ΣΥΣΤΑΣΗ ΤΡΟΦΙΜΩΝ'!R98</f>
        <v>tr</v>
      </c>
      <c r="T9" s="11" t="str">
        <f>'[2]ΣΥΣΤΑΣΗ ΤΡΟΦΙΜΩΝ'!S98</f>
        <v>tr</v>
      </c>
      <c r="U9" s="11" t="str">
        <f>'[2]ΣΥΣΤΑΣΗ ΤΡΟΦΙΜΩΝ'!T98</f>
        <v>tr</v>
      </c>
      <c r="V9" s="16" t="str">
        <f>'[2]ΣΥΣΤΑΣΗ ΤΡΟΦΙΜΩΝ'!U98</f>
        <v>tr</v>
      </c>
    </row>
    <row r="10" spans="1:22" ht="28.5">
      <c r="A10" s="15" t="s">
        <v>59</v>
      </c>
      <c r="B10" s="11">
        <v>100</v>
      </c>
      <c r="C10" s="11">
        <f>2*'[2]ΣΥΣΤΑΣΗ ΤΡΟΦΙΜΩΝ'!B8</f>
        <v>1322</v>
      </c>
      <c r="D10" s="11">
        <f>2*'[2]ΣΥΣΤΑΣΗ ΤΡΟΦΙΜΩΝ'!C8</f>
        <v>7.4</v>
      </c>
      <c r="E10" s="11">
        <f>2*'[2]ΣΥΣΤΑΣΗ ΤΡΟΦΙΜΩΝ'!D8</f>
        <v>40</v>
      </c>
      <c r="F10" s="11">
        <f>2*'[2]ΣΥΣΤΑΣΗ ΤΡΟΦΙΜΩΝ'!E8</f>
        <v>32.2</v>
      </c>
      <c r="G10" s="11">
        <f>2*'[2]ΣΥΣΤΑΣΗ ΤΡΟΦΙΜΩΝ'!F8</f>
        <v>114.8</v>
      </c>
      <c r="H10" s="11">
        <f>2*'[2]ΣΥΣΤΑΣΗ ΤΡΟΦΙΜΩΝ'!G8</f>
        <v>5.4</v>
      </c>
      <c r="I10" s="11">
        <f>2*'[2]ΣΥΣΤΑΣΗ ΤΡΟΦΙΜΩΝ'!H8</f>
        <v>0</v>
      </c>
      <c r="J10" s="11">
        <f>2*'[2]ΣΥΣΤΑΣΗ ΤΡΟΦΙΜΩΝ'!I8</f>
        <v>0</v>
      </c>
      <c r="K10" s="11">
        <f>2*'[2]ΣΥΣΤΑΣΗ ΤΡΟΦΙΜΩΝ'!J8</f>
        <v>0</v>
      </c>
      <c r="L10" s="11">
        <f>2*'[2]ΣΥΣΤΑΣΗ ΤΡΟΦΙΜΩΝ'!K8</f>
        <v>456</v>
      </c>
      <c r="M10" s="11">
        <f>2*'[2]ΣΥΣΤΑΣΗ ΤΡΟΦΙΜΩΝ'!L8</f>
        <v>896</v>
      </c>
      <c r="N10" s="11">
        <f>2*'[2]ΣΥΣΤΑΣΗ ΤΡΟΦΙΜΩΝ'!M8</f>
        <v>0</v>
      </c>
      <c r="O10" s="11">
        <f>2*'[2]ΣΥΣΤΑΣΗ ΤΡΟΦΙΜΩΝ'!N8</f>
        <v>0</v>
      </c>
      <c r="P10" s="11">
        <f>2*'[2]ΣΥΣΤΑΣΗ ΤΡΟΦΙΜΩΝ'!O8</f>
        <v>0</v>
      </c>
      <c r="Q10" s="11">
        <f>2*'[2]ΣΥΣΤΑΣΗ ΤΡΟΦΙΜΩΝ'!P8</f>
        <v>8.8</v>
      </c>
      <c r="R10" s="11">
        <f>2*'[2]ΣΥΣΤΑΣΗ ΤΡΟΦΙΜΩΝ'!Q8</f>
        <v>1586</v>
      </c>
      <c r="S10" s="11">
        <f>2*'[2]ΣΥΣΤΑΣΗ ΤΡΟΦΙΜΩΝ'!R8</f>
        <v>8.8</v>
      </c>
      <c r="T10" s="11">
        <f>2*'[2]ΣΥΣΤΑΣΗ ΤΡΟΦΙΜΩΝ'!S8</f>
        <v>0</v>
      </c>
      <c r="U10" s="11">
        <f>2*'[2]ΣΥΣΤΑΣΗ ΤΡΟΦΙΜΩΝ'!T8</f>
        <v>0</v>
      </c>
      <c r="V10" s="16">
        <f>2*'[2]ΣΥΣΤΑΣΗ ΤΡΟΦΙΜΩΝ'!U8</f>
        <v>0</v>
      </c>
    </row>
    <row r="11" spans="1:22" ht="14.25">
      <c r="A11" s="15" t="s">
        <v>58</v>
      </c>
      <c r="B11" s="11">
        <v>30</v>
      </c>
      <c r="C11" s="11">
        <f>0.3*'[2]ΣΥΣΤΑΣΗ ΤΡΟΦΙΜΩΝ'!B27</f>
        <v>126</v>
      </c>
      <c r="D11" s="11" t="str">
        <f>'[2]ΣΥΣΤΑΣΗ ΤΡΟΦΙΜΩΝ'!C27</f>
        <v>tr</v>
      </c>
      <c r="E11" s="11">
        <f>0.3*'[2]ΣΥΣΤΑΣΗ ΤΡΟΦΙΜΩΝ'!D27</f>
        <v>31.5</v>
      </c>
      <c r="F11" s="11" t="str">
        <f>'[2]ΣΥΣΤΑΣΗ ΤΡΟΦΙΜΩΝ'!E27</f>
        <v>tr</v>
      </c>
      <c r="G11" s="11">
        <f>0.3*'[2]ΣΥΣΤΑΣΗ ΤΡΟΦΙΜΩΝ'!F27</f>
        <v>0</v>
      </c>
      <c r="H11" s="11">
        <f>0.3*'[2]ΣΥΣΤΑΣΗ ΤΡΟΦΙΜΩΝ'!G27</f>
        <v>0</v>
      </c>
      <c r="I11" s="11">
        <f>0.3*'[2]ΣΥΣΤΑΣΗ ΤΡΟΦΙΜΩΝ'!H27</f>
        <v>0</v>
      </c>
      <c r="J11" s="11">
        <f>0.3*'[2]ΣΥΣΤΑΣΗ ΤΡΟΦΙΜΩΝ'!I27</f>
        <v>0</v>
      </c>
      <c r="K11" s="11">
        <f>0.3*'[2]ΣΥΣΤΑΣΗ ΤΡΟΦΙΜΩΝ'!J27</f>
        <v>31.5</v>
      </c>
      <c r="L11" s="11">
        <f>0.3*'[2]ΣΥΣΤΑΣΗ ΤΡΟΦΙΜΩΝ'!K27</f>
        <v>0.6</v>
      </c>
      <c r="M11" s="11" t="str">
        <f>'[2]ΣΥΣΤΑΣΗ ΤΡΟΦΙΜΩΝ'!L27</f>
        <v>tr</v>
      </c>
      <c r="N11" s="11" t="str">
        <f>'[2]ΣΥΣΤΑΣΗ ΤΡΟΦΙΜΩΝ'!M27</f>
        <v>tr</v>
      </c>
      <c r="O11" s="11">
        <f>'[2]ΣΥΣΤΑΣΗ ΤΡΟΦΙΜΩΝ'!N27</f>
        <v>0</v>
      </c>
      <c r="P11" s="11">
        <f>'[2]ΣΥΣΤΑΣΗ ΤΡΟΦΙΜΩΝ'!O27</f>
        <v>0</v>
      </c>
      <c r="Q11" s="11" t="str">
        <f>'[2]ΣΥΣΤΑΣΗ ΤΡΟΦΙΜΩΝ'!P27</f>
        <v>tr</v>
      </c>
      <c r="R11" s="11">
        <f>0.3*'[2]ΣΥΣΤΑΣΗ ΤΡΟΦΙΜΩΝ'!Q27</f>
        <v>0.6</v>
      </c>
      <c r="S11" s="11" t="str">
        <f>'[2]ΣΥΣΤΑΣΗ ΤΡΟΦΙΜΩΝ'!R27</f>
        <v>tr</v>
      </c>
      <c r="T11" s="11">
        <f>0.3*'[2]ΣΥΣΤΑΣΗ ΤΡΟΦΙΜΩΝ'!S27</f>
        <v>0.06</v>
      </c>
      <c r="U11" s="11">
        <f>0.3*'[2]ΣΥΣΤΑΣΗ ΤΡΟΦΙΜΩΝ'!T27</f>
        <v>0.006</v>
      </c>
      <c r="V11" s="16" t="str">
        <f>'[2]ΣΥΣΤΑΣΗ ΤΡΟΦΙΜΩΝ'!U27</f>
        <v>tr</v>
      </c>
    </row>
    <row r="12" spans="1:22" ht="14.25">
      <c r="A12" s="15" t="s">
        <v>57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6"/>
    </row>
    <row r="13" spans="1:22" ht="14.25">
      <c r="A13" s="15" t="s">
        <v>56</v>
      </c>
      <c r="B13" s="11">
        <v>15</v>
      </c>
      <c r="C13" s="11"/>
      <c r="D13" s="11">
        <v>15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6"/>
    </row>
    <row r="14" spans="1:22" ht="14.25">
      <c r="A14" s="15" t="s">
        <v>2</v>
      </c>
      <c r="B14" s="11">
        <f>SUM(B5:B13)-0.23*679</f>
        <v>522.8299999999999</v>
      </c>
      <c r="C14" s="11">
        <f>SUM(C5:C13)</f>
        <v>3749.9399999999996</v>
      </c>
      <c r="D14" s="11">
        <f>SUM(D5:D13)-0.23*679</f>
        <v>26.22999999999999</v>
      </c>
      <c r="E14" s="11">
        <f aca="true" t="shared" si="0" ref="E14:V14">SUM(E5:E13)</f>
        <v>259.75</v>
      </c>
      <c r="F14" s="11">
        <f t="shared" si="0"/>
        <v>60.95</v>
      </c>
      <c r="G14" s="11">
        <f t="shared" si="0"/>
        <v>274.144</v>
      </c>
      <c r="H14" s="11">
        <f t="shared" si="0"/>
        <v>14.65</v>
      </c>
      <c r="I14" s="11">
        <f t="shared" si="0"/>
        <v>0</v>
      </c>
      <c r="J14" s="11">
        <f t="shared" si="0"/>
        <v>184.75</v>
      </c>
      <c r="K14" s="11">
        <f t="shared" si="0"/>
        <v>35</v>
      </c>
      <c r="L14" s="11">
        <f t="shared" si="0"/>
        <v>494.1</v>
      </c>
      <c r="M14" s="11">
        <f t="shared" si="0"/>
        <v>1196</v>
      </c>
      <c r="N14" s="11">
        <f t="shared" si="0"/>
        <v>77.5</v>
      </c>
      <c r="O14" s="11">
        <f t="shared" si="0"/>
        <v>1800</v>
      </c>
      <c r="P14" s="11">
        <f t="shared" si="0"/>
        <v>0</v>
      </c>
      <c r="Q14" s="11">
        <f t="shared" si="0"/>
        <v>1216.3</v>
      </c>
      <c r="R14" s="11">
        <f t="shared" si="0"/>
        <v>1911.6</v>
      </c>
      <c r="S14" s="11">
        <f t="shared" si="0"/>
        <v>12.55</v>
      </c>
      <c r="T14" s="11">
        <f t="shared" si="0"/>
        <v>2.31</v>
      </c>
      <c r="U14" s="11">
        <f t="shared" si="0"/>
        <v>0.45599999999999996</v>
      </c>
      <c r="V14" s="16">
        <f t="shared" si="0"/>
        <v>105</v>
      </c>
    </row>
    <row r="15" spans="1:22" ht="28.5">
      <c r="A15" s="17" t="s">
        <v>32</v>
      </c>
      <c r="B15" s="11">
        <v>100</v>
      </c>
      <c r="C15" s="11">
        <f aca="true" t="shared" si="1" ref="C15:V15">100*C14/$B$14</f>
        <v>717.2388730562516</v>
      </c>
      <c r="D15" s="11">
        <f t="shared" si="1"/>
        <v>5.016927108237859</v>
      </c>
      <c r="E15" s="11">
        <f t="shared" si="1"/>
        <v>49.68154084501655</v>
      </c>
      <c r="F15" s="11">
        <f t="shared" si="1"/>
        <v>11.657709006751718</v>
      </c>
      <c r="G15" s="11">
        <f t="shared" si="1"/>
        <v>52.43463458485551</v>
      </c>
      <c r="H15" s="11">
        <f t="shared" si="1"/>
        <v>2.8020580303349085</v>
      </c>
      <c r="I15" s="11">
        <f t="shared" si="1"/>
        <v>0</v>
      </c>
      <c r="J15" s="11">
        <f t="shared" si="1"/>
        <v>35.33653386377982</v>
      </c>
      <c r="K15" s="11">
        <f t="shared" si="1"/>
        <v>6.694336591243808</v>
      </c>
      <c r="L15" s="11">
        <f t="shared" si="1"/>
        <v>94.50490599238759</v>
      </c>
      <c r="M15" s="11">
        <f t="shared" si="1"/>
        <v>228.75504466078843</v>
      </c>
      <c r="N15" s="11">
        <f t="shared" si="1"/>
        <v>14.823173880611291</v>
      </c>
      <c r="O15" s="11">
        <f t="shared" si="1"/>
        <v>344.2801675496816</v>
      </c>
      <c r="P15" s="11">
        <f t="shared" si="1"/>
        <v>0</v>
      </c>
      <c r="Q15" s="11">
        <f t="shared" si="1"/>
        <v>232.63775988370983</v>
      </c>
      <c r="R15" s="11">
        <f t="shared" si="1"/>
        <v>365.62553793776186</v>
      </c>
      <c r="S15" s="11">
        <f t="shared" si="1"/>
        <v>2.40039783486028</v>
      </c>
      <c r="T15" s="11">
        <f t="shared" si="1"/>
        <v>0.44182621502209135</v>
      </c>
      <c r="U15" s="11">
        <f t="shared" si="1"/>
        <v>0.08721764244591933</v>
      </c>
      <c r="V15" s="16">
        <f t="shared" si="1"/>
        <v>20.083009773731426</v>
      </c>
    </row>
    <row r="16" spans="1:22" ht="14.25">
      <c r="A16" s="15" t="s">
        <v>30</v>
      </c>
      <c r="B16" s="11">
        <v>400</v>
      </c>
      <c r="C16" s="11">
        <f>4*'[2]ΣΥΣΤΑΣΗ ΤΡΟΦΙΜΩΝ'!B27</f>
        <v>1680</v>
      </c>
      <c r="D16" s="11" t="str">
        <f>'[2]ΣΥΣΤΑΣΗ ΤΡΟΦΙΜΩΝ'!C27</f>
        <v>tr</v>
      </c>
      <c r="E16" s="11">
        <f>4*'[2]ΣΥΣΤΑΣΗ ΤΡΟΦΙΜΩΝ'!D27</f>
        <v>420</v>
      </c>
      <c r="F16" s="11" t="str">
        <f>'[2]ΣΥΣΤΑΣΗ ΤΡΟΦΙΜΩΝ'!E27</f>
        <v>tr</v>
      </c>
      <c r="G16" s="11">
        <f>4*'[2]ΣΥΣΤΑΣΗ ΤΡΟΦΙΜΩΝ'!F27</f>
        <v>0</v>
      </c>
      <c r="H16" s="11">
        <f>4*'[2]ΣΥΣΤΑΣΗ ΤΡΟΦΙΜΩΝ'!G27</f>
        <v>0</v>
      </c>
      <c r="I16" s="11">
        <f>4*'[2]ΣΥΣΤΑΣΗ ΤΡΟΦΙΜΩΝ'!H27</f>
        <v>0</v>
      </c>
      <c r="J16" s="11">
        <f>4*'[2]ΣΥΣΤΑΣΗ ΤΡΟΦΙΜΩΝ'!I27</f>
        <v>0</v>
      </c>
      <c r="K16" s="11">
        <f>4*'[2]ΣΥΣΤΑΣΗ ΤΡΟΦΙΜΩΝ'!J27</f>
        <v>420</v>
      </c>
      <c r="L16" s="11">
        <f>4*'[2]ΣΥΣΤΑΣΗ ΤΡΟΦΙΜΩΝ'!K27</f>
        <v>8</v>
      </c>
      <c r="M16" s="11" t="str">
        <f>'[2]ΣΥΣΤΑΣΗ ΤΡΟΦΙΜΩΝ'!L27</f>
        <v>tr</v>
      </c>
      <c r="N16" s="11" t="str">
        <f>'[2]ΣΥΣΤΑΣΗ ΤΡΟΦΙΜΩΝ'!M27</f>
        <v>tr</v>
      </c>
      <c r="O16" s="11">
        <f>4*'[2]ΣΥΣΤΑΣΗ ΤΡΟΦΙΜΩΝ'!N27</f>
        <v>0</v>
      </c>
      <c r="P16" s="11">
        <f>4*'[2]ΣΥΣΤΑΣΗ ΤΡΟΦΙΜΩΝ'!O27</f>
        <v>0</v>
      </c>
      <c r="Q16" s="11" t="str">
        <f>'[2]ΣΥΣΤΑΣΗ ΤΡΟΦΙΜΩΝ'!P27</f>
        <v>tr</v>
      </c>
      <c r="R16" s="11">
        <f>4*'[2]ΣΥΣΤΑΣΗ ΤΡΟΦΙΜΩΝ'!Q27</f>
        <v>8</v>
      </c>
      <c r="S16" s="11" t="str">
        <f>'[2]ΣΥΣΤΑΣΗ ΤΡΟΦΙΜΩΝ'!R27</f>
        <v>tr</v>
      </c>
      <c r="T16" s="11">
        <f>4*'[2]ΣΥΣΤΑΣΗ ΤΡΟΦΙΜΩΝ'!S27</f>
        <v>0.8</v>
      </c>
      <c r="U16" s="11">
        <f>4*'[2]ΣΥΣΤΑΣΗ ΤΡΟΦΙΜΩΝ'!T27</f>
        <v>0.08</v>
      </c>
      <c r="V16" s="16" t="str">
        <f>'[2]ΣΥΣΤΑΣΗ ΤΡΟΦΙΜΩΝ'!U27</f>
        <v>tr</v>
      </c>
    </row>
    <row r="17" spans="1:22" ht="14.25">
      <c r="A17" s="15" t="s">
        <v>55</v>
      </c>
      <c r="B17" s="11">
        <v>480</v>
      </c>
      <c r="C17" s="11"/>
      <c r="D17" s="11">
        <v>480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6"/>
    </row>
    <row r="18" spans="1:22" ht="14.25">
      <c r="A18" s="15" t="s">
        <v>54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6"/>
    </row>
    <row r="19" spans="1:22" ht="14.25">
      <c r="A19" s="15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6"/>
    </row>
    <row r="20" spans="1:22" ht="14.25">
      <c r="A20" s="15" t="s">
        <v>52</v>
      </c>
      <c r="B20" s="11">
        <v>15</v>
      </c>
      <c r="C20" s="11">
        <f>0.15*'[2]ΣΥΣΤΑΣΗ ΤΡΟΦΙΜΩΝ'!B102</f>
        <v>1.14</v>
      </c>
      <c r="D20" s="11">
        <f>0.15*'[2]ΣΥΣΤΑΣΗ ΤΡΟΦΙΜΩΝ'!C102</f>
        <v>13.71</v>
      </c>
      <c r="E20" s="11">
        <f>0.15*'[2]ΣΥΣΤΑΣΗ ΤΡΟΦΙΜΩΝ'!D102</f>
        <v>0.24</v>
      </c>
      <c r="F20" s="11">
        <f>0.15*'[2]ΣΥΣΤΑΣΗ ΤΡΟΦΙΜΩΝ'!E102</f>
        <v>0.045</v>
      </c>
      <c r="G20" s="11" t="str">
        <f>'[2]ΣΥΣΤΑΣΗ ΤΡΟΦΙΜΩΝ'!F102</f>
        <v>tr</v>
      </c>
      <c r="H20" s="11">
        <f>0.15*'[2]ΣΥΣΤΑΣΗ ΤΡΟΦΙΜΩΝ'!G102</f>
        <v>0.015</v>
      </c>
      <c r="I20" s="11">
        <f>0.15*'[2]ΣΥΣΤΑΣΗ ΤΡΟΦΙΜΩΝ'!H102</f>
        <v>0</v>
      </c>
      <c r="J20" s="11">
        <f>0.15*'[2]ΣΥΣΤΑΣΗ ΤΡΟΦΙΜΩΝ'!I102</f>
        <v>0</v>
      </c>
      <c r="K20" s="11">
        <f>0.15*'[2]ΣΥΣΤΑΣΗ ΤΡΟΦΙΜΩΝ'!J102</f>
        <v>0.24</v>
      </c>
      <c r="L20" s="11">
        <f>0.15*'[2]ΣΥΣΤΑΣΗ ΤΡΟΦΙΜΩΝ'!K102</f>
        <v>1.05</v>
      </c>
      <c r="M20" s="11">
        <f>0.15*'[2]ΣΥΣΤΑΣΗ ΤΡΟΦΙΜΩΝ'!L102</f>
        <v>1.2</v>
      </c>
      <c r="N20" s="11">
        <f>0.15*'[2]ΣΥΣΤΑΣΗ ΤΡΟΦΙΜΩΝ'!M102</f>
        <v>1.05</v>
      </c>
      <c r="O20" s="11">
        <f>0.15*'[2]ΣΥΣΤΑΣΗ ΤΡΟΦΙΜΩΝ'!N102</f>
        <v>0.44999999999999996</v>
      </c>
      <c r="P20" s="11" t="str">
        <f>'[2]ΣΥΣΤΑΣΗ ΤΡΟΦΙΜΩΝ'!O102</f>
        <v>tr</v>
      </c>
      <c r="Q20" s="11">
        <f>0.15*'[2]ΣΥΣΤΑΣΗ ΤΡΟΦΙΜΩΝ'!P102</f>
        <v>0.15</v>
      </c>
      <c r="R20" s="11">
        <f>0.15*'[2]ΣΥΣΤΑΣΗ ΤΡΟΦΙΜΩΝ'!Q102</f>
        <v>19.5</v>
      </c>
      <c r="S20" s="11">
        <f>0.15*'[2]ΣΥΣΤΑΣΗ ΤΡΟΦΙΜΩΝ'!R102</f>
        <v>0.015</v>
      </c>
      <c r="T20" s="11" t="str">
        <f>'[2]ΣΥΣΤΑΣΗ ΤΡΟΦΙΜΩΝ'!S102</f>
        <v>tr</v>
      </c>
      <c r="U20" s="11">
        <f>0.15*'[2]ΣΥΣΤΑΣΗ ΤΡΟΦΙΜΩΝ'!T102</f>
        <v>0.0045</v>
      </c>
      <c r="V20" s="16">
        <f>0.15*'[2]ΣΥΣΤΑΣΗ ΤΡΟΦΙΜΩΝ'!U102</f>
        <v>0.15</v>
      </c>
    </row>
    <row r="21" spans="1:22" ht="14.25">
      <c r="A21" s="15" t="s">
        <v>2</v>
      </c>
      <c r="B21" s="11">
        <f aca="true" t="shared" si="2" ref="B21:V21">SUM(B16:B20)</f>
        <v>895</v>
      </c>
      <c r="C21" s="11">
        <f t="shared" si="2"/>
        <v>1681.14</v>
      </c>
      <c r="D21" s="11">
        <f t="shared" si="2"/>
        <v>493.71</v>
      </c>
      <c r="E21" s="11">
        <f t="shared" si="2"/>
        <v>420.24</v>
      </c>
      <c r="F21" s="11">
        <f t="shared" si="2"/>
        <v>0.045</v>
      </c>
      <c r="G21" s="11">
        <f t="shared" si="2"/>
        <v>0</v>
      </c>
      <c r="H21" s="11">
        <f t="shared" si="2"/>
        <v>0.015</v>
      </c>
      <c r="I21" s="11">
        <f t="shared" si="2"/>
        <v>0</v>
      </c>
      <c r="J21" s="11">
        <f t="shared" si="2"/>
        <v>0</v>
      </c>
      <c r="K21" s="11">
        <f t="shared" si="2"/>
        <v>420.24</v>
      </c>
      <c r="L21" s="11">
        <f t="shared" si="2"/>
        <v>9.05</v>
      </c>
      <c r="M21" s="11">
        <f t="shared" si="2"/>
        <v>1.2</v>
      </c>
      <c r="N21" s="11">
        <f t="shared" si="2"/>
        <v>1.05</v>
      </c>
      <c r="O21" s="11">
        <f t="shared" si="2"/>
        <v>0.44999999999999996</v>
      </c>
      <c r="P21" s="11">
        <f t="shared" si="2"/>
        <v>0</v>
      </c>
      <c r="Q21" s="11">
        <f t="shared" si="2"/>
        <v>0.15</v>
      </c>
      <c r="R21" s="11">
        <f t="shared" si="2"/>
        <v>27.5</v>
      </c>
      <c r="S21" s="11">
        <f t="shared" si="2"/>
        <v>0.015</v>
      </c>
      <c r="T21" s="11">
        <f t="shared" si="2"/>
        <v>0.8</v>
      </c>
      <c r="U21" s="11">
        <f t="shared" si="2"/>
        <v>0.0845</v>
      </c>
      <c r="V21" s="16">
        <f t="shared" si="2"/>
        <v>0.15</v>
      </c>
    </row>
    <row r="22" spans="1:22" ht="28.5">
      <c r="A22" s="17" t="s">
        <v>32</v>
      </c>
      <c r="B22" s="11">
        <v>100</v>
      </c>
      <c r="C22" s="11">
        <f aca="true" t="shared" si="3" ref="C22:V22">100*C21/$B$21</f>
        <v>187.8368715083799</v>
      </c>
      <c r="D22" s="11">
        <f t="shared" si="3"/>
        <v>55.163128491620114</v>
      </c>
      <c r="E22" s="11">
        <f t="shared" si="3"/>
        <v>46.95418994413408</v>
      </c>
      <c r="F22" s="11">
        <f t="shared" si="3"/>
        <v>0.005027932960893855</v>
      </c>
      <c r="G22" s="11">
        <f t="shared" si="3"/>
        <v>0</v>
      </c>
      <c r="H22" s="11">
        <f t="shared" si="3"/>
        <v>0.0016759776536312849</v>
      </c>
      <c r="I22" s="11">
        <f t="shared" si="3"/>
        <v>0</v>
      </c>
      <c r="J22" s="11">
        <f t="shared" si="3"/>
        <v>0</v>
      </c>
      <c r="K22" s="11">
        <f t="shared" si="3"/>
        <v>46.95418994413408</v>
      </c>
      <c r="L22" s="11">
        <f t="shared" si="3"/>
        <v>1.011173184357542</v>
      </c>
      <c r="M22" s="11">
        <f t="shared" si="3"/>
        <v>0.1340782122905028</v>
      </c>
      <c r="N22" s="11">
        <f t="shared" si="3"/>
        <v>0.11731843575418995</v>
      </c>
      <c r="O22" s="11">
        <f t="shared" si="3"/>
        <v>0.050279329608938536</v>
      </c>
      <c r="P22" s="11">
        <f t="shared" si="3"/>
        <v>0</v>
      </c>
      <c r="Q22" s="11">
        <f t="shared" si="3"/>
        <v>0.01675977653631285</v>
      </c>
      <c r="R22" s="11">
        <f t="shared" si="3"/>
        <v>3.0726256983240225</v>
      </c>
      <c r="S22" s="11">
        <f t="shared" si="3"/>
        <v>0.0016759776536312849</v>
      </c>
      <c r="T22" s="11">
        <f t="shared" si="3"/>
        <v>0.0893854748603352</v>
      </c>
      <c r="U22" s="11">
        <f t="shared" si="3"/>
        <v>0.009441340782122906</v>
      </c>
      <c r="V22" s="16">
        <f t="shared" si="3"/>
        <v>0.01675977653631285</v>
      </c>
    </row>
    <row r="23" spans="1:22" ht="14.25">
      <c r="A23" s="15" t="s">
        <v>51</v>
      </c>
      <c r="B23" s="11">
        <f aca="true" t="shared" si="4" ref="B23:V23">B21+B14</f>
        <v>1417.83</v>
      </c>
      <c r="C23" s="11">
        <f t="shared" si="4"/>
        <v>5431.08</v>
      </c>
      <c r="D23" s="11">
        <f t="shared" si="4"/>
        <v>519.9399999999999</v>
      </c>
      <c r="E23" s="11">
        <f t="shared" si="4"/>
        <v>679.99</v>
      </c>
      <c r="F23" s="11">
        <f t="shared" si="4"/>
        <v>60.995000000000005</v>
      </c>
      <c r="G23" s="11">
        <f t="shared" si="4"/>
        <v>274.144</v>
      </c>
      <c r="H23" s="11">
        <f t="shared" si="4"/>
        <v>14.665000000000001</v>
      </c>
      <c r="I23" s="11">
        <f t="shared" si="4"/>
        <v>0</v>
      </c>
      <c r="J23" s="11">
        <f t="shared" si="4"/>
        <v>184.75</v>
      </c>
      <c r="K23" s="11">
        <f t="shared" si="4"/>
        <v>455.24</v>
      </c>
      <c r="L23" s="11">
        <f t="shared" si="4"/>
        <v>503.15000000000003</v>
      </c>
      <c r="M23" s="11">
        <f t="shared" si="4"/>
        <v>1197.2</v>
      </c>
      <c r="N23" s="11">
        <f t="shared" si="4"/>
        <v>78.55</v>
      </c>
      <c r="O23" s="11">
        <f t="shared" si="4"/>
        <v>1800.45</v>
      </c>
      <c r="P23" s="11">
        <f t="shared" si="4"/>
        <v>0</v>
      </c>
      <c r="Q23" s="11">
        <f t="shared" si="4"/>
        <v>1216.45</v>
      </c>
      <c r="R23" s="11">
        <f t="shared" si="4"/>
        <v>1939.1</v>
      </c>
      <c r="S23" s="11">
        <f t="shared" si="4"/>
        <v>12.565000000000001</v>
      </c>
      <c r="T23" s="11">
        <f t="shared" si="4"/>
        <v>3.1100000000000003</v>
      </c>
      <c r="U23" s="11">
        <f t="shared" si="4"/>
        <v>0.5405</v>
      </c>
      <c r="V23" s="16">
        <f t="shared" si="4"/>
        <v>105.15</v>
      </c>
    </row>
    <row r="24" spans="1:22" ht="14.25">
      <c r="A24" s="18" t="s">
        <v>50</v>
      </c>
      <c r="B24" s="19">
        <v>100</v>
      </c>
      <c r="C24" s="19">
        <f aca="true" t="shared" si="5" ref="C24:V24">100*C23/$B$23</f>
        <v>383.0557965341402</v>
      </c>
      <c r="D24" s="19">
        <f t="shared" si="5"/>
        <v>36.671533258571195</v>
      </c>
      <c r="E24" s="19">
        <f t="shared" si="5"/>
        <v>47.959910567557465</v>
      </c>
      <c r="F24" s="19">
        <f t="shared" si="5"/>
        <v>4.301996713287207</v>
      </c>
      <c r="G24" s="19">
        <f t="shared" si="5"/>
        <v>19.335463348920534</v>
      </c>
      <c r="H24" s="19">
        <f t="shared" si="5"/>
        <v>1.034327105506302</v>
      </c>
      <c r="I24" s="19">
        <f t="shared" si="5"/>
        <v>0</v>
      </c>
      <c r="J24" s="19">
        <f t="shared" si="5"/>
        <v>13.030476150173152</v>
      </c>
      <c r="K24" s="19">
        <f t="shared" si="5"/>
        <v>32.10822171910596</v>
      </c>
      <c r="L24" s="19">
        <f t="shared" si="5"/>
        <v>35.48732922846886</v>
      </c>
      <c r="M24" s="19">
        <f t="shared" si="5"/>
        <v>84.43889605947116</v>
      </c>
      <c r="N24" s="19">
        <f t="shared" si="5"/>
        <v>5.54015643624412</v>
      </c>
      <c r="O24" s="19">
        <f t="shared" si="5"/>
        <v>126.98631006538162</v>
      </c>
      <c r="P24" s="19">
        <f t="shared" si="5"/>
        <v>0</v>
      </c>
      <c r="Q24" s="19">
        <f t="shared" si="5"/>
        <v>85.79660467051762</v>
      </c>
      <c r="R24" s="19">
        <f t="shared" si="5"/>
        <v>136.76533858078895</v>
      </c>
      <c r="S24" s="19">
        <f t="shared" si="5"/>
        <v>0.8862134388466885</v>
      </c>
      <c r="T24" s="19">
        <f t="shared" si="5"/>
        <v>0.21934928729114214</v>
      </c>
      <c r="U24" s="19">
        <f t="shared" si="5"/>
        <v>0.03812163658548627</v>
      </c>
      <c r="V24" s="20">
        <f t="shared" si="5"/>
        <v>7.416262880599226</v>
      </c>
    </row>
    <row r="28" spans="1:47" ht="45">
      <c r="A28" s="4"/>
      <c r="B28" s="5" t="s">
        <v>82</v>
      </c>
      <c r="C28" s="6" t="s">
        <v>83</v>
      </c>
      <c r="D28" s="6" t="s">
        <v>84</v>
      </c>
      <c r="E28" s="6" t="s">
        <v>18</v>
      </c>
      <c r="F28" s="6" t="s">
        <v>85</v>
      </c>
      <c r="G28" s="6" t="s">
        <v>86</v>
      </c>
      <c r="H28" s="6" t="s">
        <v>87</v>
      </c>
      <c r="I28" s="6" t="s">
        <v>88</v>
      </c>
      <c r="J28" s="6" t="s">
        <v>89</v>
      </c>
      <c r="K28" s="6" t="s">
        <v>90</v>
      </c>
      <c r="L28" s="6" t="s">
        <v>91</v>
      </c>
      <c r="M28" s="6" t="s">
        <v>92</v>
      </c>
      <c r="N28" s="6" t="s">
        <v>17</v>
      </c>
      <c r="O28" s="6" t="s">
        <v>16</v>
      </c>
      <c r="P28" s="6" t="s">
        <v>15</v>
      </c>
      <c r="Q28" s="6" t="s">
        <v>14</v>
      </c>
      <c r="R28" s="6" t="s">
        <v>13</v>
      </c>
      <c r="S28" s="6" t="s">
        <v>93</v>
      </c>
      <c r="T28" s="6" t="s">
        <v>94</v>
      </c>
      <c r="U28" s="7" t="s">
        <v>95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21" ht="14.25">
      <c r="A29" s="12" t="s">
        <v>61</v>
      </c>
      <c r="B29" s="13">
        <f>2.5*'[2]ΣΥΣΤΑΣΗ ΤΡΟΦΙΜΩΝ'!V6</f>
        <v>0</v>
      </c>
      <c r="C29" s="13">
        <f>2.5*'[2]ΣΥΣΤΑΣΗ ΤΡΟΦΙΜΩΝ'!W6*0.75</f>
        <v>0.1875</v>
      </c>
      <c r="D29" s="13">
        <f>2.5*'[2]ΣΥΣΤΑΣΗ ΤΡΟΦΙΜΩΝ'!X6*0.9</f>
        <v>0.0675</v>
      </c>
      <c r="E29" s="13">
        <f>2.5*'[2]ΣΥΣΤΑΣΗ ΤΡΟΦΙΜΩΝ'!Y6</f>
        <v>0</v>
      </c>
      <c r="F29" s="13">
        <f>2.5*'[2]ΣΥΣΤΑΣΗ ΤΡΟΦΙΜΩΝ'!Z6*0.9</f>
        <v>1.575</v>
      </c>
      <c r="G29" s="13">
        <f>2.5*'[2]ΣΥΣΤΑΣΗ ΤΡΟΦΙΜΩΝ'!AA6*0.9</f>
        <v>0.3375</v>
      </c>
      <c r="H29" s="13">
        <f>2.5*'[2]ΣΥΣΤΑΣΗ ΤΡΟΦΙΜΩΝ'!AB6</f>
        <v>0</v>
      </c>
      <c r="I29" s="13">
        <f>2.5*'[2]ΣΥΣΤΑΣΗ ΤΡΟΦΙΜΩΝ'!AC6*0.65</f>
        <v>50.375</v>
      </c>
      <c r="J29" s="13">
        <f>2.5*'[2]ΣΥΣΤΑΣΗ ΤΡΟΦΙΜΩΝ'!AD6</f>
        <v>0</v>
      </c>
      <c r="K29" s="13">
        <f>2.5*'[2]ΣΥΣΤΑΣΗ ΤΡΟΦΙΜΩΝ'!AE6</f>
        <v>0</v>
      </c>
      <c r="L29" s="13">
        <f>2.5*'[2]ΣΥΣΤΑΣΗ ΤΡΟΦΙΜΩΝ'!AF6</f>
        <v>0</v>
      </c>
      <c r="M29" s="13">
        <f>2.5*'[2]ΣΥΣΤΑΣΗ ΤΡΟΦΙΜΩΝ'!AG6</f>
        <v>0.75</v>
      </c>
      <c r="N29" s="13">
        <f>'[2]ΣΥΣΤΑΣΗ ΤΡΟΦΙΜΩΝ'!AH6</f>
        <v>3.501945525291829</v>
      </c>
      <c r="O29" s="13">
        <f>'[2]ΣΥΣΤΑΣΗ ΤΡΟΦΙΜΩΝ'!AI6</f>
        <v>12.784880489160644</v>
      </c>
      <c r="P29" s="13">
        <f>'[2]ΣΥΣΤΑΣΗ ΤΡΟΦΙΜΩΝ'!AJ6</f>
        <v>83.71317398554753</v>
      </c>
      <c r="Q29" s="13">
        <f>'[2]ΣΥΣΤΑΣΗ ΤΡΟΦΙΜΩΝ'!AK6</f>
        <v>0.500277932184547</v>
      </c>
      <c r="R29" s="13">
        <f>'[2]ΣΥΣΤΑΣΗ ΤΡΟΦΙΜΩΝ'!AL6</f>
        <v>1.556420233463035</v>
      </c>
      <c r="S29" s="13">
        <f>2.5*'[2]ΣΥΣΤΑΣΗ ΤΡΟΦΙΜΩΝ'!AM6</f>
        <v>0.5</v>
      </c>
      <c r="T29" s="13">
        <f>2.5*'[2]ΣΥΣΤΑΣΗ ΤΡΟΦΙΜΩΝ'!AN6</f>
        <v>0.25</v>
      </c>
      <c r="U29" s="14">
        <f>2.5*'[2]ΣΥΣΤΑΣΗ ΤΡΟΦΙΜΩΝ'!AO6</f>
        <v>1.5</v>
      </c>
    </row>
    <row r="30" spans="1:21" ht="14.25">
      <c r="A30" s="15" t="s">
        <v>41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6"/>
    </row>
    <row r="31" spans="1:21" ht="14.25">
      <c r="A31" s="15" t="s">
        <v>60</v>
      </c>
      <c r="B31" s="11" t="str">
        <f>'[2]ΣΥΣΤΑΣΗ ΤΡΟΦΙΜΩΝ'!V98</f>
        <v>n</v>
      </c>
      <c r="C31" s="11" t="str">
        <f>'[2]ΣΥΣΤΑΣΗ ΤΡΟΦΙΜΩΝ'!W98</f>
        <v>tr</v>
      </c>
      <c r="D31" s="11" t="str">
        <f>'[2]ΣΥΣΤΑΣΗ ΤΡΟΦΙΜΩΝ'!X98</f>
        <v>tr</v>
      </c>
      <c r="E31" s="11" t="str">
        <f>'[2]ΣΥΣΤΑΣΗ ΤΡΟΦΙΜΩΝ'!Y98</f>
        <v>tr</v>
      </c>
      <c r="F31" s="11" t="str">
        <f>'[2]ΣΥΣΤΑΣΗ ΤΡΟΦΙΜΩΝ'!Z98</f>
        <v>tr</v>
      </c>
      <c r="G31" s="11" t="str">
        <f>'[2]ΣΥΣΤΑΣΗ ΤΡΟΦΙΜΩΝ'!AA98</f>
        <v>tr</v>
      </c>
      <c r="H31" s="11">
        <f>0.36*'[2]ΣΥΣΤΑΣΗ ΤΡΟΦΙΜΩΝ'!AB98</f>
        <v>0</v>
      </c>
      <c r="I31" s="11" t="s">
        <v>24</v>
      </c>
      <c r="J31" s="11">
        <f>0.36*'[2]ΣΥΣΤΑΣΗ ΤΡΟΦΙΜΩΝ'!AD98</f>
        <v>0</v>
      </c>
      <c r="K31" s="11">
        <f>0.36*'[2]ΣΥΣΤΑΣΗ ΤΡΟΦΙΜΩΝ'!AE98</f>
        <v>0</v>
      </c>
      <c r="L31" s="11">
        <f>0.36*'[2]ΣΥΣΤΑΣΗ ΤΡΟΦΙΜΩΝ'!AF98</f>
        <v>0</v>
      </c>
      <c r="M31" s="11">
        <f>0.36*'[2]ΣΥΣΤΑΣΗ ΤΡΟΦΙΜΩΝ'!AG98</f>
        <v>5.4576</v>
      </c>
      <c r="N31" s="11">
        <f>'[2]ΣΥΣΤΑΣΗ ΤΡΟΦΙΜΩΝ'!AH98</f>
        <v>100.0111234705228</v>
      </c>
      <c r="O31" s="11">
        <v>0</v>
      </c>
      <c r="P31" s="11">
        <f>'[2]ΣΥΣΤΑΣΗ ΤΡΟΦΙΜΩΝ'!AJ98</f>
        <v>0</v>
      </c>
      <c r="Q31" s="11">
        <f>'[2]ΣΥΣΤΑΣΗ ΤΡΟΦΙΜΩΝ'!AK98</f>
        <v>18.82091212458287</v>
      </c>
      <c r="R31" s="11">
        <f>'[2]ΣΥΣΤΑΣΗ ΤΡΟΦΙΜΩΝ'!AL98</f>
        <v>0</v>
      </c>
      <c r="S31" s="11">
        <f>0.36*'[2]ΣΥΣΤΑΣΗ ΤΡΟΦΙΜΩΝ'!AM98</f>
        <v>6.768</v>
      </c>
      <c r="T31" s="11">
        <f>0.36*'[2]ΣΥΣΤΑΣΗ ΤΡΟΦΙΜΩΝ'!AN98</f>
        <v>17.208</v>
      </c>
      <c r="U31" s="16">
        <f>0.36*'[2]ΣΥΣΤΑΣΗ ΤΡΟΦΙΜΩΝ'!AO98</f>
        <v>10.26</v>
      </c>
    </row>
    <row r="32" spans="1:21" ht="14.25">
      <c r="A32" s="15" t="s">
        <v>38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6"/>
    </row>
    <row r="33" spans="1:21" ht="14.25">
      <c r="A33" s="15" t="s">
        <v>123</v>
      </c>
      <c r="B33" s="11" t="str">
        <f>'[2]ΣΥΣΤΑΣΗ ΤΡΟΦΙΜΩΝ'!V98</f>
        <v>n</v>
      </c>
      <c r="C33" s="11" t="str">
        <f>'[2]ΣΥΣΤΑΣΗ ΤΡΟΦΙΜΩΝ'!W98</f>
        <v>tr</v>
      </c>
      <c r="D33" s="11" t="str">
        <f>'[2]ΣΥΣΤΑΣΗ ΤΡΟΦΙΜΩΝ'!X98</f>
        <v>tr</v>
      </c>
      <c r="E33" s="11" t="str">
        <f>'[2]ΣΥΣΤΑΣΗ ΤΡΟΦΙΜΩΝ'!Y98</f>
        <v>tr</v>
      </c>
      <c r="F33" s="11" t="str">
        <f>'[2]ΣΥΣΤΑΣΗ ΤΡΟΦΙΜΩΝ'!Z98</f>
        <v>tr</v>
      </c>
      <c r="G33" s="11" t="str">
        <f>'[2]ΣΥΣΤΑΣΗ ΤΡΟΦΙΜΩΝ'!AA98</f>
        <v>tr</v>
      </c>
      <c r="H33" s="11">
        <f>1.2*'[2]ΣΥΣΤΑΣΗ ΤΡΟΦΙΜΩΝ'!AB98</f>
        <v>0</v>
      </c>
      <c r="I33" s="11" t="s">
        <v>24</v>
      </c>
      <c r="J33" s="11">
        <f>1.2*'[2]ΣΥΣΤΑΣΗ ΤΡΟΦΙΜΩΝ'!AD98</f>
        <v>0</v>
      </c>
      <c r="K33" s="11">
        <f>1.2*'[2]ΣΥΣΤΑΣΗ ΤΡΟΦΙΜΩΝ'!AE98</f>
        <v>0</v>
      </c>
      <c r="L33" s="11">
        <f>1.2*'[2]ΣΥΣΤΑΣΗ ΤΡΟΦΙΜΩΝ'!AF98</f>
        <v>0</v>
      </c>
      <c r="M33" s="11">
        <f>1.2*'[2]ΣΥΣΤΑΣΗ ΤΡΟΦΙΜΩΝ'!AG98</f>
        <v>18.192</v>
      </c>
      <c r="N33" s="11">
        <f>'[2]ΣΥΣΤΑΣΗ ΤΡΟΦΙΜΩΝ'!AH98</f>
        <v>100.0111234705228</v>
      </c>
      <c r="O33" s="11">
        <v>0</v>
      </c>
      <c r="P33" s="11">
        <f>'[2]ΣΥΣΤΑΣΗ ΤΡΟΦΙΜΩΝ'!AJ98</f>
        <v>0</v>
      </c>
      <c r="Q33" s="11">
        <f>'[2]ΣΥΣΤΑΣΗ ΤΡΟΦΙΜΩΝ'!AK98</f>
        <v>18.82091212458287</v>
      </c>
      <c r="R33" s="11">
        <f>'[2]ΣΥΣΤΑΣΗ ΤΡΟΦΙΜΩΝ'!AL98</f>
        <v>0</v>
      </c>
      <c r="S33" s="11">
        <f>1.2*'[2]ΣΥΣΤΑΣΗ ΤΡΟΦΙΜΩΝ'!AM98</f>
        <v>22.56</v>
      </c>
      <c r="T33" s="11">
        <f>1.2*'[2]ΣΥΣΤΑΣΗ ΤΡΟΦΙΜΩΝ'!AN98</f>
        <v>57.35999999999999</v>
      </c>
      <c r="U33" s="16">
        <f>1.2*'[2]ΣΥΣΤΑΣΗ ΤΡΟΦΙΜΩΝ'!AO98</f>
        <v>34.199999999999996</v>
      </c>
    </row>
    <row r="34" spans="1:21" ht="28.5">
      <c r="A34" s="15" t="s">
        <v>59</v>
      </c>
      <c r="B34" s="11" t="s">
        <v>20</v>
      </c>
      <c r="C34" s="11">
        <f>2*'[2]ΣΥΣΤΑΣΗ ΤΡΟΦΙΜΩΝ'!W8</f>
        <v>0.58</v>
      </c>
      <c r="D34" s="11">
        <f>2*'[2]ΣΥΣΤΑΣΗ ΤΡΟΦΙΜΩΝ'!X8</f>
        <v>1</v>
      </c>
      <c r="E34" s="11" t="s">
        <v>20</v>
      </c>
      <c r="F34" s="11">
        <f>2*'[2]ΣΥΣΤΑΣΗ ΤΡΟΦΙΜΩΝ'!Z8</f>
        <v>6.8</v>
      </c>
      <c r="G34" s="11" t="s">
        <v>20</v>
      </c>
      <c r="H34" s="11" t="s">
        <v>20</v>
      </c>
      <c r="I34" s="11" t="s">
        <v>20</v>
      </c>
      <c r="J34" s="11" t="s">
        <v>20</v>
      </c>
      <c r="K34" s="11" t="s">
        <v>20</v>
      </c>
      <c r="L34" s="11" t="s">
        <v>20</v>
      </c>
      <c r="M34" s="11" t="s">
        <v>20</v>
      </c>
      <c r="N34" s="11">
        <f>'[2]ΣΥΣΤΑΣΗ ΤΡΟΦΙΜΩΝ'!AH8</f>
        <v>78.15431164901665</v>
      </c>
      <c r="O34" s="11">
        <f>'[2]ΣΥΣΤΑΣΗ ΤΡΟΦΙΜΩΝ'!AI8</f>
        <v>9.742813918305599</v>
      </c>
      <c r="P34" s="11">
        <f>'[2]ΣΥΣΤΑΣΗ ΤΡΟΦΙΜΩΝ'!AJ8</f>
        <v>12.10287443267776</v>
      </c>
      <c r="Q34" s="11">
        <f>'[2]ΣΥΣΤΑΣΗ ΤΡΟΦΙΜΩΝ'!AK8</f>
        <v>0</v>
      </c>
      <c r="R34" s="11">
        <f>'[2]ΣΥΣΤΑΣΗ ΤΡΟΦΙΜΩΝ'!AL8</f>
        <v>0</v>
      </c>
      <c r="S34" s="11">
        <f>2*'[2]ΣΥΣΤΑΣΗ ΤΡΟΦΙΜΩΝ'!AM8</f>
        <v>0</v>
      </c>
      <c r="T34" s="11">
        <f>2*'[2]ΣΥΣΤΑΣΗ ΤΡΟΦΙΜΩΝ'!AN8</f>
        <v>0</v>
      </c>
      <c r="U34" s="16">
        <f>2*'[2]ΣΥΣΤΑΣΗ ΤΡΟΦΙΜΩΝ'!AO8</f>
        <v>0</v>
      </c>
    </row>
    <row r="35" spans="1:21" ht="14.25">
      <c r="A35" s="15" t="s">
        <v>58</v>
      </c>
      <c r="B35" s="11" t="str">
        <f>'[2]ΣΥΣΤΑΣΗ ΤΡΟΦΙΜΩΝ'!V27</f>
        <v>tr</v>
      </c>
      <c r="C35" s="11">
        <f>0.3*'[2]ΣΥΣΤΑΣΗ ΤΡΟΦΙΜΩΝ'!W27</f>
        <v>0</v>
      </c>
      <c r="D35" s="11">
        <f>0.3*'[2]ΣΥΣΤΑΣΗ ΤΡΟΦΙΜΩΝ'!X27</f>
        <v>0</v>
      </c>
      <c r="E35" s="11">
        <f>0.3*'[2]ΣΥΣΤΑΣΗ ΤΡΟΦΙΜΩΝ'!Y27</f>
        <v>0</v>
      </c>
      <c r="F35" s="11">
        <f>0.3*'[2]ΣΥΣΤΑΣΗ ΤΡΟΦΙΜΩΝ'!Z27</f>
        <v>0</v>
      </c>
      <c r="G35" s="11">
        <f>0.3*'[2]ΣΥΣΤΑΣΗ ΤΡΟΦΙΜΩΝ'!AA27</f>
        <v>0</v>
      </c>
      <c r="H35" s="11">
        <f>0.3*'[2]ΣΥΣΤΑΣΗ ΤΡΟΦΙΜΩΝ'!AB27</f>
        <v>0</v>
      </c>
      <c r="I35" s="11">
        <f>0.3*'[2]ΣΥΣΤΑΣΗ ΤΡΟΦΙΜΩΝ'!AC27</f>
        <v>0</v>
      </c>
      <c r="J35" s="11">
        <f>0.3*'[2]ΣΥΣΤΑΣΗ ΤΡΟΦΙΜΩΝ'!AD27</f>
        <v>0</v>
      </c>
      <c r="K35" s="11">
        <f>0.3*'[2]ΣΥΣΤΑΣΗ ΤΡΟΦΙΜΩΝ'!AE27</f>
        <v>0</v>
      </c>
      <c r="L35" s="11">
        <f>0.3*'[2]ΣΥΣΤΑΣΗ ΤΡΟΦΙΜΩΝ'!AF27</f>
        <v>0</v>
      </c>
      <c r="M35" s="11">
        <f>0.3*'[2]ΣΥΣΤΑΣΗ ΤΡΟΦΙΜΩΝ'!AG27</f>
        <v>0</v>
      </c>
      <c r="N35" s="11">
        <f>'[2]ΣΥΣΤΑΣΗ ΤΡΟΦΙΜΩΝ'!AH27</f>
        <v>0</v>
      </c>
      <c r="O35" s="11" t="s">
        <v>20</v>
      </c>
      <c r="P35" s="11">
        <f>'[2]ΣΥΣΤΑΣΗ ΤΡΟΦΙΜΩΝ'!AJ27</f>
        <v>100</v>
      </c>
      <c r="Q35" s="11">
        <f>'[2]ΣΥΣΤΑΣΗ ΤΡΟΦΙΜΩΝ'!AK27</f>
        <v>0</v>
      </c>
      <c r="R35" s="11">
        <f>'[2]ΣΥΣΤΑΣΗ ΤΡΟΦΙΜΩΝ'!AL27</f>
        <v>100</v>
      </c>
      <c r="S35" s="11">
        <f>0.3*'[2]ΣΥΣΤΑΣΗ ΤΡΟΦΙΜΩΝ'!AM27</f>
        <v>0</v>
      </c>
      <c r="T35" s="11">
        <f>0.3*'[2]ΣΥΣΤΑΣΗ ΤΡΟΦΙΜΩΝ'!AN27</f>
        <v>0</v>
      </c>
      <c r="U35" s="16">
        <f>0.3*'[2]ΣΥΣΤΑΣΗ ΤΡΟΦΙΜΩΝ'!AO27</f>
        <v>0</v>
      </c>
    </row>
    <row r="36" spans="1:21" ht="14.25">
      <c r="A36" s="15" t="s">
        <v>57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/>
    </row>
    <row r="37" spans="1:21" ht="14.25">
      <c r="A37" s="15" t="s">
        <v>56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6"/>
    </row>
    <row r="38" spans="1:21" ht="14.25">
      <c r="A38" s="15" t="s">
        <v>2</v>
      </c>
      <c r="B38" s="11">
        <f aca="true" t="shared" si="6" ref="B38:M38">SUM(B29:B37)</f>
        <v>0</v>
      </c>
      <c r="C38" s="11">
        <f t="shared" si="6"/>
        <v>0.7675</v>
      </c>
      <c r="D38" s="11">
        <f t="shared" si="6"/>
        <v>1.0675</v>
      </c>
      <c r="E38" s="11">
        <f t="shared" si="6"/>
        <v>0</v>
      </c>
      <c r="F38" s="11">
        <f t="shared" si="6"/>
        <v>8.375</v>
      </c>
      <c r="G38" s="11">
        <f t="shared" si="6"/>
        <v>0.3375</v>
      </c>
      <c r="H38" s="11">
        <f t="shared" si="6"/>
        <v>0</v>
      </c>
      <c r="I38" s="11">
        <f t="shared" si="6"/>
        <v>50.375</v>
      </c>
      <c r="J38" s="11">
        <f t="shared" si="6"/>
        <v>0</v>
      </c>
      <c r="K38" s="11">
        <f t="shared" si="6"/>
        <v>0</v>
      </c>
      <c r="L38" s="11">
        <f t="shared" si="6"/>
        <v>0</v>
      </c>
      <c r="M38" s="11">
        <f t="shared" si="6"/>
        <v>24.3996</v>
      </c>
      <c r="N38" s="10">
        <f>9*G14*100/C14</f>
        <v>65.7956127298037</v>
      </c>
      <c r="O38" s="10">
        <f>4*F14*100/C14</f>
        <v>6.501437356331035</v>
      </c>
      <c r="P38" s="10">
        <f>4*E14*100/C14</f>
        <v>27.707109980426356</v>
      </c>
      <c r="Q38" s="11">
        <f>9*S38*100/C14</f>
        <v>7.158834541352663</v>
      </c>
      <c r="R38" s="11">
        <f>4*K14*100/C14</f>
        <v>3.7333930676224156</v>
      </c>
      <c r="S38" s="11">
        <f>SUM(S29:S37)</f>
        <v>29.828</v>
      </c>
      <c r="T38" s="11">
        <f>SUM(T29:T37)</f>
        <v>74.81799999999998</v>
      </c>
      <c r="U38" s="16">
        <f>SUM(U29:U37)</f>
        <v>45.959999999999994</v>
      </c>
    </row>
    <row r="39" spans="1:21" ht="28.5">
      <c r="A39" s="17" t="s">
        <v>32</v>
      </c>
      <c r="B39" s="11">
        <f aca="true" t="shared" si="7" ref="B39:M39">100*B38/$B$14</f>
        <v>0</v>
      </c>
      <c r="C39" s="11">
        <f t="shared" si="7"/>
        <v>0.14679723810798923</v>
      </c>
      <c r="D39" s="11">
        <f t="shared" si="7"/>
        <v>0.20417726603293615</v>
      </c>
      <c r="E39" s="11">
        <f t="shared" si="7"/>
        <v>0</v>
      </c>
      <c r="F39" s="11">
        <f t="shared" si="7"/>
        <v>1.6018591129047686</v>
      </c>
      <c r="G39" s="11">
        <f t="shared" si="7"/>
        <v>0.0645525314155653</v>
      </c>
      <c r="H39" s="11">
        <f t="shared" si="7"/>
        <v>0</v>
      </c>
      <c r="I39" s="11">
        <f t="shared" si="7"/>
        <v>9.63506302239734</v>
      </c>
      <c r="J39" s="11">
        <f t="shared" si="7"/>
        <v>0</v>
      </c>
      <c r="K39" s="11">
        <f t="shared" si="7"/>
        <v>0</v>
      </c>
      <c r="L39" s="11">
        <f t="shared" si="7"/>
        <v>0</v>
      </c>
      <c r="M39" s="11">
        <f t="shared" si="7"/>
        <v>4.666832431191784</v>
      </c>
      <c r="N39" s="11"/>
      <c r="O39" s="11"/>
      <c r="P39" s="11"/>
      <c r="Q39" s="11"/>
      <c r="R39" s="11"/>
      <c r="S39" s="11">
        <f>100*S38/$B$14</f>
        <v>5.705104909817723</v>
      </c>
      <c r="T39" s="11">
        <f>100*T38/$B$14</f>
        <v>14.310196430962263</v>
      </c>
      <c r="U39" s="16">
        <f>100*U38/$B$14</f>
        <v>8.790620278101867</v>
      </c>
    </row>
    <row r="40" spans="1:21" ht="14.25">
      <c r="A40" s="15" t="s">
        <v>30</v>
      </c>
      <c r="B40" s="11" t="str">
        <f>'[2]ΣΥΣΤΑΣΗ ΤΡΟΦΙΜΩΝ'!V27</f>
        <v>tr</v>
      </c>
      <c r="C40" s="11">
        <f>4*'[2]ΣΥΣΤΑΣΗ ΤΡΟΦΙΜΩΝ'!W27</f>
        <v>0</v>
      </c>
      <c r="D40" s="11">
        <f>4*'[2]ΣΥΣΤΑΣΗ ΤΡΟΦΙΜΩΝ'!X27</f>
        <v>0</v>
      </c>
      <c r="E40" s="11">
        <f>4*'[2]ΣΥΣΤΑΣΗ ΤΡΟΦΙΜΩΝ'!Y27</f>
        <v>0</v>
      </c>
      <c r="F40" s="11">
        <f>4*'[2]ΣΥΣΤΑΣΗ ΤΡΟΦΙΜΩΝ'!Z27</f>
        <v>0</v>
      </c>
      <c r="G40" s="11">
        <f>4*'[2]ΣΥΣΤΑΣΗ ΤΡΟΦΙΜΩΝ'!AA27</f>
        <v>0</v>
      </c>
      <c r="H40" s="11">
        <f>4*'[2]ΣΥΣΤΑΣΗ ΤΡΟΦΙΜΩΝ'!AB27</f>
        <v>0</v>
      </c>
      <c r="I40" s="11">
        <f>4*'[2]ΣΥΣΤΑΣΗ ΤΡΟΦΙΜΩΝ'!AC27</f>
        <v>0</v>
      </c>
      <c r="J40" s="11">
        <f>4*'[2]ΣΥΣΤΑΣΗ ΤΡΟΦΙΜΩΝ'!AD27</f>
        <v>0</v>
      </c>
      <c r="K40" s="11">
        <f>4*'[2]ΣΥΣΤΑΣΗ ΤΡΟΦΙΜΩΝ'!AE27</f>
        <v>0</v>
      </c>
      <c r="L40" s="11">
        <f>4*'[2]ΣΥΣΤΑΣΗ ΤΡΟΦΙΜΩΝ'!AF27</f>
        <v>0</v>
      </c>
      <c r="M40" s="11">
        <f>4*'[2]ΣΥΣΤΑΣΗ ΤΡΟΦΙΜΩΝ'!AG27</f>
        <v>0</v>
      </c>
      <c r="N40" s="11">
        <f>'[2]ΣΥΣΤΑΣΗ ΤΡΟΦΙΜΩΝ'!AH27</f>
        <v>0</v>
      </c>
      <c r="O40" s="11" t="s">
        <v>20</v>
      </c>
      <c r="P40" s="11">
        <f>'[2]ΣΥΣΤΑΣΗ ΤΡΟΦΙΜΩΝ'!AJ27</f>
        <v>100</v>
      </c>
      <c r="Q40" s="11">
        <f>'[2]ΣΥΣΤΑΣΗ ΤΡΟΦΙΜΩΝ'!AK27</f>
        <v>0</v>
      </c>
      <c r="R40" s="11">
        <f>'[2]ΣΥΣΤΑΣΗ ΤΡΟΦΙΜΩΝ'!AL27</f>
        <v>100</v>
      </c>
      <c r="S40" s="11">
        <f>4*'[2]ΣΥΣΤΑΣΗ ΤΡΟΦΙΜΩΝ'!AM27</f>
        <v>0</v>
      </c>
      <c r="T40" s="11">
        <f>4*'[2]ΣΥΣΤΑΣΗ ΤΡΟΦΙΜΩΝ'!AN27</f>
        <v>0</v>
      </c>
      <c r="U40" s="16">
        <f>4*'[2]ΣΥΣΤΑΣΗ ΤΡΟΦΙΜΩΝ'!AO27</f>
        <v>0</v>
      </c>
    </row>
    <row r="41" spans="1:21" ht="14.25">
      <c r="A41" s="15" t="s">
        <v>55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6"/>
    </row>
    <row r="42" spans="1:21" ht="14.25">
      <c r="A42" s="15" t="s">
        <v>54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6"/>
    </row>
    <row r="43" spans="1:21" ht="14.25">
      <c r="A43" s="15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6"/>
    </row>
    <row r="44" spans="1:21" ht="14.25">
      <c r="A44" s="15" t="s">
        <v>52</v>
      </c>
      <c r="B44" s="11" t="str">
        <f>'[2]ΣΥΣΤΑΣΗ ΤΡΟΦΙΜΩΝ'!V102</f>
        <v>n</v>
      </c>
      <c r="C44" s="11">
        <f>0.15*'[2]ΣΥΣΤΑΣΗ ΤΡΟΦΙΜΩΝ'!W102</f>
        <v>0.0045</v>
      </c>
      <c r="D44" s="11">
        <f>0.15*'[2]ΣΥΣΤΑΣΗ ΤΡΟΦΙΜΩΝ'!X102</f>
        <v>0.0015</v>
      </c>
      <c r="E44" s="11">
        <f>0.15*'[2]ΣΥΣΤΑΣΗ ΤΡΟΦΙΜΩΝ'!Y102</f>
        <v>1.7999999999999998</v>
      </c>
      <c r="F44" s="11">
        <f>0.15*'[2]ΣΥΣΤΑΣΗ ΤΡΟΦΙΜΩΝ'!Z102</f>
        <v>0.015</v>
      </c>
      <c r="G44" s="11">
        <f>0.15*'[2]ΣΥΣΤΑΣΗ ΤΡΟΦΙΜΩΝ'!AA102</f>
        <v>0.0075</v>
      </c>
      <c r="H44" s="11">
        <f>0.15*'[2]ΣΥΣΤΑΣΗ ΤΡΟΦΙΜΩΝ'!AB102</f>
        <v>0</v>
      </c>
      <c r="I44" s="11">
        <f>0.15*'[2]ΣΥΣΤΑΣΗ ΤΡΟΦΙΜΩΝ'!AC102</f>
        <v>1.95</v>
      </c>
      <c r="J44" s="11">
        <f>0.15*'[2]ΣΥΣΤΑΣΗ ΤΡΟΦΙΜΩΝ'!AD102</f>
        <v>5.3999999999999995</v>
      </c>
      <c r="K44" s="11">
        <f>0.15*'[2]ΣΥΣΤΑΣΗ ΤΡΟΦΙΜΩΝ'!AE102</f>
        <v>0</v>
      </c>
      <c r="L44" s="11">
        <f>0.15*'[2]ΣΥΣΤΑΣΗ ΤΡΟΦΙΜΩΝ'!AF102</f>
        <v>0</v>
      </c>
      <c r="M44" s="11" t="str">
        <f>'[2]ΣΥΣΤΑΣΗ ΤΡΟΦΙΜΩΝ'!AG102</f>
        <v>n</v>
      </c>
      <c r="N44" s="11">
        <f>'[2]ΣΥΣΤΑΣΗ ΤΡΟΦΙΜΩΝ'!AH102</f>
        <v>0</v>
      </c>
      <c r="O44" s="11">
        <f>'[2]ΣΥΣΤΑΣΗ ΤΡΟΦΙΜΩΝ'!AI102</f>
        <v>15.789473684210527</v>
      </c>
      <c r="P44" s="11">
        <f>'[2]ΣΥΣΤΑΣΗ ΤΡΟΦΙΜΩΝ'!AJ102</f>
        <v>84.21052631578948</v>
      </c>
      <c r="Q44" s="11">
        <f>'[2]ΣΥΣΤΑΣΗ ΤΡΟΦΙΜΩΝ'!AK102</f>
        <v>0</v>
      </c>
      <c r="R44" s="11">
        <f>'[2]ΣΥΣΤΑΣΗ ΤΡΟΦΙΜΩΝ'!AL102</f>
        <v>84.21052631578948</v>
      </c>
      <c r="S44" s="11">
        <f>0.15*'[2]ΣΥΣΤΑΣΗ ΤΡΟΦΙΜΩΝ'!AM102</f>
        <v>0</v>
      </c>
      <c r="T44" s="11">
        <f>0.15*'[2]ΣΥΣΤΑΣΗ ΤΡΟΦΙΜΩΝ'!AN102</f>
        <v>0</v>
      </c>
      <c r="U44" s="16">
        <f>0.15*'[2]ΣΥΣΤΑΣΗ ΤΡΟΦΙΜΩΝ'!AO102</f>
        <v>0</v>
      </c>
    </row>
    <row r="45" spans="1:21" ht="14.25">
      <c r="A45" s="15" t="s">
        <v>2</v>
      </c>
      <c r="B45" s="11">
        <f aca="true" t="shared" si="8" ref="B45:M45">SUM(B40:B44)</f>
        <v>0</v>
      </c>
      <c r="C45" s="11">
        <f t="shared" si="8"/>
        <v>0.0045</v>
      </c>
      <c r="D45" s="11">
        <f t="shared" si="8"/>
        <v>0.0015</v>
      </c>
      <c r="E45" s="11">
        <f t="shared" si="8"/>
        <v>1.7999999999999998</v>
      </c>
      <c r="F45" s="11">
        <f t="shared" si="8"/>
        <v>0.015</v>
      </c>
      <c r="G45" s="11">
        <f t="shared" si="8"/>
        <v>0.0075</v>
      </c>
      <c r="H45" s="11">
        <f t="shared" si="8"/>
        <v>0</v>
      </c>
      <c r="I45" s="11">
        <f t="shared" si="8"/>
        <v>1.95</v>
      </c>
      <c r="J45" s="11">
        <f t="shared" si="8"/>
        <v>5.3999999999999995</v>
      </c>
      <c r="K45" s="11">
        <f t="shared" si="8"/>
        <v>0</v>
      </c>
      <c r="L45" s="11">
        <f t="shared" si="8"/>
        <v>0</v>
      </c>
      <c r="M45" s="11">
        <f t="shared" si="8"/>
        <v>0</v>
      </c>
      <c r="N45" s="10">
        <f>9*G21*100/C21</f>
        <v>0</v>
      </c>
      <c r="O45" s="10">
        <f>4*F21*100/C21</f>
        <v>0.010707020236268246</v>
      </c>
      <c r="P45" s="10">
        <f>4*E21*100/C21</f>
        <v>99.98929297976373</v>
      </c>
      <c r="Q45" s="11">
        <f>9*S45*100/C21</f>
        <v>0</v>
      </c>
      <c r="R45" s="11">
        <f>4*K21*100/C21</f>
        <v>99.98929297976373</v>
      </c>
      <c r="S45" s="11">
        <f>SUM(S40:S44)</f>
        <v>0</v>
      </c>
      <c r="T45" s="11">
        <f>SUM(T40:T44)</f>
        <v>0</v>
      </c>
      <c r="U45" s="16">
        <f>SUM(U40:U44)</f>
        <v>0</v>
      </c>
    </row>
    <row r="46" spans="1:21" ht="28.5">
      <c r="A46" s="17" t="s">
        <v>32</v>
      </c>
      <c r="B46" s="11">
        <f aca="true" t="shared" si="9" ref="B46:M46">100*B45/$B$21</f>
        <v>0</v>
      </c>
      <c r="C46" s="11">
        <f t="shared" si="9"/>
        <v>0.0005027932960893854</v>
      </c>
      <c r="D46" s="11">
        <f t="shared" si="9"/>
        <v>0.0001675977653631285</v>
      </c>
      <c r="E46" s="11">
        <f t="shared" si="9"/>
        <v>0.20111731843575414</v>
      </c>
      <c r="F46" s="11">
        <f t="shared" si="9"/>
        <v>0.0016759776536312849</v>
      </c>
      <c r="G46" s="11">
        <f t="shared" si="9"/>
        <v>0.0008379888268156424</v>
      </c>
      <c r="H46" s="11">
        <f t="shared" si="9"/>
        <v>0</v>
      </c>
      <c r="I46" s="11">
        <f t="shared" si="9"/>
        <v>0.21787709497206703</v>
      </c>
      <c r="J46" s="11">
        <f t="shared" si="9"/>
        <v>0.6033519553072626</v>
      </c>
      <c r="K46" s="11">
        <f t="shared" si="9"/>
        <v>0</v>
      </c>
      <c r="L46" s="11">
        <f t="shared" si="9"/>
        <v>0</v>
      </c>
      <c r="M46" s="11">
        <f t="shared" si="9"/>
        <v>0</v>
      </c>
      <c r="N46" s="11"/>
      <c r="O46" s="11"/>
      <c r="P46" s="11"/>
      <c r="Q46" s="11"/>
      <c r="R46" s="11"/>
      <c r="S46" s="11"/>
      <c r="T46" s="11">
        <f>100*T45/$B$21</f>
        <v>0</v>
      </c>
      <c r="U46" s="16">
        <f>100*U45/$B$21</f>
        <v>0</v>
      </c>
    </row>
    <row r="47" spans="1:21" ht="14.25">
      <c r="A47" s="15" t="s">
        <v>51</v>
      </c>
      <c r="B47" s="11">
        <f aca="true" t="shared" si="10" ref="B47:M47">B45+B38</f>
        <v>0</v>
      </c>
      <c r="C47" s="11">
        <f t="shared" si="10"/>
        <v>0.7719999999999999</v>
      </c>
      <c r="D47" s="11">
        <f t="shared" si="10"/>
        <v>1.069</v>
      </c>
      <c r="E47" s="11">
        <f t="shared" si="10"/>
        <v>1.7999999999999998</v>
      </c>
      <c r="F47" s="11">
        <f t="shared" si="10"/>
        <v>8.39</v>
      </c>
      <c r="G47" s="11">
        <f t="shared" si="10"/>
        <v>0.34500000000000003</v>
      </c>
      <c r="H47" s="11">
        <f t="shared" si="10"/>
        <v>0</v>
      </c>
      <c r="I47" s="11">
        <f t="shared" si="10"/>
        <v>52.325</v>
      </c>
      <c r="J47" s="11">
        <f t="shared" si="10"/>
        <v>5.3999999999999995</v>
      </c>
      <c r="K47" s="11">
        <f t="shared" si="10"/>
        <v>0</v>
      </c>
      <c r="L47" s="11">
        <f t="shared" si="10"/>
        <v>0</v>
      </c>
      <c r="M47" s="11">
        <f t="shared" si="10"/>
        <v>24.3996</v>
      </c>
      <c r="N47" s="10">
        <f>9*G23*100/C23</f>
        <v>45.42919640292539</v>
      </c>
      <c r="O47" s="10">
        <f>4*F23*100/C23</f>
        <v>4.492292509040559</v>
      </c>
      <c r="P47" s="10">
        <f>4*E23*100/C23</f>
        <v>50.08138344491335</v>
      </c>
      <c r="Q47" s="11">
        <f>9*S47*100/C23</f>
        <v>4.94288428820787</v>
      </c>
      <c r="R47" s="11">
        <f>4*K23*100/C23</f>
        <v>33.52850630077259</v>
      </c>
      <c r="S47" s="11">
        <f>S45+S38</f>
        <v>29.828</v>
      </c>
      <c r="T47" s="11">
        <f>T45+T38</f>
        <v>74.81799999999998</v>
      </c>
      <c r="U47" s="16">
        <f>U45+U38</f>
        <v>45.959999999999994</v>
      </c>
    </row>
    <row r="48" spans="1:21" ht="14.25">
      <c r="A48" s="18" t="s">
        <v>50</v>
      </c>
      <c r="B48" s="19">
        <f aca="true" t="shared" si="11" ref="B48:M48">100*B47/$B$23</f>
        <v>0</v>
      </c>
      <c r="C48" s="19">
        <f t="shared" si="11"/>
        <v>0.05444940507677225</v>
      </c>
      <c r="D48" s="19">
        <f t="shared" si="11"/>
        <v>0.07539690936148903</v>
      </c>
      <c r="E48" s="19">
        <f t="shared" si="11"/>
        <v>0.12695457142252595</v>
      </c>
      <c r="F48" s="19">
        <f t="shared" si="11"/>
        <v>0.591749363463885</v>
      </c>
      <c r="G48" s="19">
        <f t="shared" si="11"/>
        <v>0.024332959522650813</v>
      </c>
      <c r="H48" s="19">
        <f t="shared" si="11"/>
        <v>0</v>
      </c>
      <c r="I48" s="19">
        <f t="shared" si="11"/>
        <v>3.690498860935373</v>
      </c>
      <c r="J48" s="19">
        <f t="shared" si="11"/>
        <v>0.3808637142675779</v>
      </c>
      <c r="K48" s="19">
        <f t="shared" si="11"/>
        <v>0</v>
      </c>
      <c r="L48" s="19">
        <f t="shared" si="11"/>
        <v>0</v>
      </c>
      <c r="M48" s="19">
        <f t="shared" si="11"/>
        <v>1.7209115338228138</v>
      </c>
      <c r="N48" s="19"/>
      <c r="O48" s="19"/>
      <c r="P48" s="19"/>
      <c r="Q48" s="19"/>
      <c r="R48" s="19"/>
      <c r="S48" s="19">
        <f>100*S47/$B$23</f>
        <v>2.1037783091061693</v>
      </c>
      <c r="T48" s="19">
        <f>100*T47/$B$23</f>
        <v>5.2769372914947485</v>
      </c>
      <c r="U48" s="20">
        <f>100*U47/$B$23</f>
        <v>3.2415733903218293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view="pageLayout" zoomScale="55" zoomScaleNormal="55" zoomScalePageLayoutView="55" workbookViewId="0" topLeftCell="A31">
      <selection activeCell="I27" sqref="I27"/>
    </sheetView>
  </sheetViews>
  <sheetFormatPr defaultColWidth="9.140625" defaultRowHeight="15"/>
  <cols>
    <col min="1" max="1" width="24.7109375" style="2" customWidth="1"/>
    <col min="2" max="3" width="9.140625" style="1" customWidth="1"/>
    <col min="4" max="4" width="10.57421875" style="1" customWidth="1"/>
    <col min="5" max="5" width="16.00390625" style="1" customWidth="1"/>
    <col min="6" max="8" width="9.140625" style="1" customWidth="1"/>
    <col min="9" max="9" width="11.8515625" style="1" customWidth="1"/>
    <col min="10" max="12" width="9.140625" style="1" customWidth="1"/>
    <col min="13" max="13" width="12.421875" style="1" customWidth="1"/>
    <col min="14" max="14" width="11.8515625" style="1" customWidth="1"/>
    <col min="15" max="15" width="9.140625" style="1" customWidth="1"/>
    <col min="16" max="16" width="13.421875" style="1" customWidth="1"/>
    <col min="17" max="17" width="10.8515625" style="1" customWidth="1"/>
    <col min="18" max="18" width="9.140625" style="1" customWidth="1"/>
    <col min="19" max="19" width="10.8515625" style="1" customWidth="1"/>
    <col min="20" max="21" width="9.140625" style="1" customWidth="1"/>
    <col min="22" max="22" width="10.421875" style="1" customWidth="1"/>
    <col min="23" max="16384" width="9.140625" style="1" customWidth="1"/>
  </cols>
  <sheetData>
    <row r="1" spans="1:47" s="21" customFormat="1" ht="18">
      <c r="A1" s="26" t="s">
        <v>124</v>
      </c>
      <c r="B1" s="26"/>
      <c r="C1" s="26"/>
      <c r="D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" s="21" customFormat="1" ht="18">
      <c r="A2" s="26" t="s">
        <v>120</v>
      </c>
      <c r="B2" s="26"/>
      <c r="C2" s="26"/>
      <c r="D2" s="26"/>
    </row>
    <row r="4" spans="1:22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</row>
    <row r="5" spans="1:22" ht="14.25">
      <c r="A5" s="12" t="s">
        <v>74</v>
      </c>
      <c r="B5" s="13">
        <v>250</v>
      </c>
      <c r="C5" s="13">
        <f>2.5*'[2]ΣΥΣΤΑΣΗ ΤΡΟΦΙΜΩΝ'!B6</f>
        <v>899.5</v>
      </c>
      <c r="D5" s="13">
        <f>2.5*'[2]ΣΥΣΤΑΣΗ ΤΡΟΦΙΜΩΝ'!C6</f>
        <v>35</v>
      </c>
      <c r="E5" s="13">
        <f>2.5*'[2]ΣΥΣΤΑΣΗ ΤΡΟΦΙΜΩΝ'!D6</f>
        <v>188.25</v>
      </c>
      <c r="F5" s="13">
        <f>2.5*'[2]ΣΥΣΤΑΣΗ ΤΡΟΦΙΜΩΝ'!E6</f>
        <v>28.75</v>
      </c>
      <c r="G5" s="13">
        <f>2.5*'[2]ΣΥΣΤΑΣΗ ΤΡΟΦΙΜΩΝ'!F6</f>
        <v>3.5</v>
      </c>
      <c r="H5" s="13">
        <f>2.5*'[2]ΣΥΣΤΑΣΗ ΤΡΟΦΙΜΩΝ'!G6</f>
        <v>9.25</v>
      </c>
      <c r="I5" s="13">
        <f>2.5*'[2]ΣΥΣΤΑΣΗ ΤΡΟΦΙΜΩΝ'!H6</f>
        <v>0</v>
      </c>
      <c r="J5" s="13">
        <f>2.5*'[2]ΣΥΣΤΑΣΗ ΤΡΟΦΙΜΩΝ'!I6</f>
        <v>184.75</v>
      </c>
      <c r="K5" s="13">
        <f>2.5*'[2]ΣΥΣΤΑΣΗ ΤΡΟΦΙΜΩΝ'!J6</f>
        <v>3.5</v>
      </c>
      <c r="L5" s="13">
        <f>2.5*'[2]ΣΥΣΤΑΣΗ ΤΡΟΦΙΜΩΝ'!K6</f>
        <v>37.5</v>
      </c>
      <c r="M5" s="13">
        <f>2.5*'[2]ΣΥΣΤΑΣΗ ΤΡΟΦΙΜΩΝ'!L6</f>
        <v>300</v>
      </c>
      <c r="N5" s="13">
        <f>2.5*'[2]ΣΥΣΤΑΣΗ ΤΡΟΦΙΜΩΝ'!M6</f>
        <v>77.5</v>
      </c>
      <c r="O5" s="13">
        <f>2.5*'[2]ΣΥΣΤΑΣΗ ΤΡΟΦΙΜΩΝ'!N6</f>
        <v>0</v>
      </c>
      <c r="P5" s="13">
        <f>2.5*'[2]ΣΥΣΤΑΣΗ ΤΡΟΦΙΜΩΝ'!O6</f>
        <v>0</v>
      </c>
      <c r="Q5" s="13">
        <f>2.5*'[2]ΣΥΣΤΑΣΗ ΤΡΟΦΙΜΩΝ'!P6</f>
        <v>7.5</v>
      </c>
      <c r="R5" s="13">
        <f>2.5*'[2]ΣΥΣΤΑΣΗ ΤΡΟΦΙΜΩΝ'!Q6</f>
        <v>325</v>
      </c>
      <c r="S5" s="13">
        <f>2.5*'[2]ΣΥΣΤΑΣΗ ΤΡΟΦΙΜΩΝ'!R6</f>
        <v>3.75</v>
      </c>
      <c r="T5" s="13">
        <f>2.5*'[2]ΣΥΣΤΑΣΗ ΤΡΟΦΙΜΩΝ'!S6</f>
        <v>2.25</v>
      </c>
      <c r="U5" s="13">
        <f>2.5*'[2]ΣΥΣΤΑΣΗ ΤΡΟΦΙΜΩΝ'!T6</f>
        <v>0.44999999999999996</v>
      </c>
      <c r="V5" s="14">
        <f>2.5*'[2]ΣΥΣΤΑΣΗ ΤΡΟΦΙΜΩΝ'!U6</f>
        <v>105</v>
      </c>
    </row>
    <row r="6" spans="1:22" ht="14.25">
      <c r="A6" s="15" t="s">
        <v>73</v>
      </c>
      <c r="B6" s="11">
        <v>110</v>
      </c>
      <c r="C6" s="11">
        <f>1.1*'[2]ΣΥΣΤΑΣΗ ΤΡΟΦΙΜΩΝ'!B11</f>
        <v>988.9000000000001</v>
      </c>
      <c r="D6" s="11" t="str">
        <f>'[2]ΣΥΣΤΑΣΗ ΤΡΟΦΙΜΩΝ'!C11</f>
        <v>tr</v>
      </c>
      <c r="E6" s="11" t="str">
        <f>'[2]ΣΥΣΤΑΣΗ ΤΡΟΦΙΜΩΝ'!D11</f>
        <v>tr</v>
      </c>
      <c r="F6" s="11" t="str">
        <f>'[2]ΣΥΣΤΑΣΗ ΤΡΟΦΙΜΩΝ'!E11</f>
        <v>tr</v>
      </c>
      <c r="G6" s="11">
        <f>1.1*'[2]ΣΥΣΤΑΣΗ ΤΡΟΦΙΜΩΝ'!F11</f>
        <v>109.89000000000001</v>
      </c>
      <c r="H6" s="11">
        <f>1.1*'[2]ΣΥΣΤΑΣΗ ΤΡΟΦΙΜΩΝ'!G11</f>
        <v>0</v>
      </c>
      <c r="I6" s="11">
        <f>1.1*'[2]ΣΥΣΤΑΣΗ ΤΡΟΦΙΜΩΝ'!H11</f>
        <v>0</v>
      </c>
      <c r="J6" s="11">
        <f>1.1*'[2]ΣΥΣΤΑΣΗ ΤΡΟΦΙΜΩΝ'!I11</f>
        <v>0</v>
      </c>
      <c r="K6" s="11">
        <f>1.1*'[2]ΣΥΣΤΑΣΗ ΤΡΟΦΙΜΩΝ'!J11</f>
        <v>0</v>
      </c>
      <c r="L6" s="11" t="str">
        <f>'[2]ΣΥΣΤΑΣΗ ΤΡΟΦΙΜΩΝ'!K11</f>
        <v>tr</v>
      </c>
      <c r="M6" s="11" t="str">
        <f>'[2]ΣΥΣΤΑΣΗ ΤΡΟΦΙΜΩΝ'!L11</f>
        <v>tr</v>
      </c>
      <c r="N6" s="11" t="str">
        <f>'[2]ΣΥΣΤΑΣΗ ΤΡΟΦΙΜΩΝ'!M11</f>
        <v>tr</v>
      </c>
      <c r="O6" s="11">
        <f>'[2]ΣΥΣΤΑΣΗ ΤΡΟΦΙΜΩΝ'!N11</f>
        <v>0</v>
      </c>
      <c r="P6" s="11">
        <f>'[2]ΣΥΣΤΑΣΗ ΤΡΟΦΙΜΩΝ'!O11</f>
        <v>0</v>
      </c>
      <c r="Q6" s="11" t="str">
        <f>'[2]ΣΥΣΤΑΣΗ ΤΡΟΦΙΜΩΝ'!P11</f>
        <v>tr</v>
      </c>
      <c r="R6" s="11" t="str">
        <f>'[2]ΣΥΣΤΑΣΗ ΤΡΟΦΙΜΩΝ'!Q11</f>
        <v>tr</v>
      </c>
      <c r="S6" s="11" t="str">
        <f>'[2]ΣΥΣΤΑΣΗ ΤΡΟΦΙΜΩΝ'!R11</f>
        <v>tr</v>
      </c>
      <c r="T6" s="11" t="str">
        <f>'[2]ΣΥΣΤΑΣΗ ΤΡΟΦΙΜΩΝ'!S11</f>
        <v>tr</v>
      </c>
      <c r="U6" s="11" t="str">
        <f>'[2]ΣΥΣΤΑΣΗ ΤΡΟΦΙΜΩΝ'!T11</f>
        <v>tr</v>
      </c>
      <c r="V6" s="16" t="str">
        <f>'[2]ΣΥΣΤΑΣΗ ΤΡΟΦΙΜΩΝ'!U11</f>
        <v>tr</v>
      </c>
    </row>
    <row r="7" spans="1:22" ht="14.25">
      <c r="A7" s="15" t="s">
        <v>41</v>
      </c>
      <c r="B7" s="11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1800</v>
      </c>
      <c r="P7" s="11"/>
      <c r="Q7" s="11">
        <v>1200</v>
      </c>
      <c r="R7" s="11"/>
      <c r="S7" s="11"/>
      <c r="T7" s="11"/>
      <c r="U7" s="11"/>
      <c r="V7" s="16"/>
    </row>
    <row r="8" spans="1:22" ht="14.25">
      <c r="A8" s="15" t="s">
        <v>19</v>
      </c>
      <c r="B8" s="11">
        <v>125</v>
      </c>
      <c r="C8" s="11"/>
      <c r="D8" s="11">
        <v>125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/>
    </row>
    <row r="9" spans="1:22" ht="14.25">
      <c r="A9" s="15" t="s">
        <v>72</v>
      </c>
      <c r="B9" s="11">
        <v>125</v>
      </c>
      <c r="C9" s="11">
        <f>1.25*'[2]ΣΥΣΤΑΣΗ ΤΡΟΦΙΜΩΝ'!B78</f>
        <v>450</v>
      </c>
      <c r="D9" s="11">
        <f>1.25*'[2]ΣΥΣΤΑΣΗ ΤΡΟΦΙΜΩΝ'!C78</f>
        <v>15.8375</v>
      </c>
      <c r="E9" s="11">
        <f>1.25*'[2]ΣΥΣΤΑΣΗ ΤΡΟΦΙΜΩΝ'!D78</f>
        <v>91.0375</v>
      </c>
      <c r="F9" s="11">
        <f>1.25*'[2]ΣΥΣΤΑΣΗ ΤΡΟΦΙΜΩΝ'!E78</f>
        <v>15.85</v>
      </c>
      <c r="G9" s="11">
        <f>1.25*'[2]ΣΥΣΤΑΣΗ ΤΡΟΦΙΜΩΝ'!F78</f>
        <v>1.3125</v>
      </c>
      <c r="H9" s="11">
        <f>1.25*'[2]ΣΥΣΤΑΣΗ ΤΡΟΦΙΜΩΝ'!G78</f>
        <v>0</v>
      </c>
      <c r="I9" s="11">
        <f>1.25*'[2]ΣΥΣΤΑΣΗ ΤΡΟΦΙΜΩΝ'!H78</f>
        <v>0</v>
      </c>
      <c r="J9" s="11">
        <f>1.25*'[2]ΣΥΣΤΑΣΗ ΤΡΟΦΙΜΩΝ'!I78</f>
        <v>0</v>
      </c>
      <c r="K9" s="11">
        <f>1.25*'[2]ΣΥΣΤΑΣΗ ΤΡΟΦΙΜΩΝ'!J78</f>
        <v>0</v>
      </c>
      <c r="L9" s="11">
        <f>1.25*'[2]ΣΥΣΤΑΣΗ ΤΡΟΦΙΜΩΝ'!K78</f>
        <v>21.25</v>
      </c>
      <c r="M9" s="11">
        <f>1.25*'[2]ΣΥΣΤΑΣΗ ΤΡΟΦΙΜΩΝ'!L78</f>
        <v>170</v>
      </c>
      <c r="N9" s="11">
        <f>1.25*'[2]ΣΥΣΤΑΣΗ ΤΡΟΦΙΜΩΝ'!M78</f>
        <v>58.75</v>
      </c>
      <c r="O9" s="11">
        <f>1.25*'[2]ΣΥΣΤΑΣΗ ΤΡΟΦΙΜΩΝ'!N78</f>
        <v>0</v>
      </c>
      <c r="P9" s="11">
        <f>1.25*'[2]ΣΥΣΤΑΣΗ ΤΡΟΦΙΜΩΝ'!O78</f>
        <v>0.7737499999999999</v>
      </c>
      <c r="Q9" s="11">
        <f>1.25*'[2]ΣΥΣΤΑΣΗ ΤΡΟΦΙΜΩΝ'!P78</f>
        <v>1.25</v>
      </c>
      <c r="R9" s="11">
        <f>1.25*'[2]ΣΥΣΤΑΣΗ ΤΡΟΦΙΜΩΝ'!Q78</f>
        <v>232.5</v>
      </c>
      <c r="S9" s="11">
        <f>1.25*'[2]ΣΥΣΤΑΣΗ ΤΡΟΦΙΜΩΝ'!R78</f>
        <v>1.5375</v>
      </c>
      <c r="T9" s="11">
        <f>1.25*'[2]ΣΥΣΤΑΣΗ ΤΡΟΦΙΜΩΝ'!S78</f>
        <v>1.3125</v>
      </c>
      <c r="U9" s="11">
        <f>1.25*'[2]ΣΥΣΤΑΣΗ ΤΡΟΦΙΜΩΝ'!T78</f>
        <v>0.23625000000000002</v>
      </c>
      <c r="V9" s="16">
        <f>1.25*'[2]ΣΥΣΤΑΣΗ ΤΡΟΦΙΜΩΝ'!U78</f>
        <v>0</v>
      </c>
    </row>
    <row r="10" spans="1:22" ht="14.25">
      <c r="A10" s="15" t="s">
        <v>5</v>
      </c>
      <c r="B10" s="11">
        <v>200</v>
      </c>
      <c r="C10" s="11">
        <f>2*'[2]ΣΥΣΤΑΣΗ ΤΡΟΦΙΜΩΝ'!B27</f>
        <v>840</v>
      </c>
      <c r="D10" s="11" t="s">
        <v>24</v>
      </c>
      <c r="E10" s="11">
        <f>2*'[2]ΣΥΣΤΑΣΗ ΤΡΟΦΙΜΩΝ'!D27</f>
        <v>210</v>
      </c>
      <c r="F10" s="11" t="s">
        <v>24</v>
      </c>
      <c r="G10" s="11">
        <f>2*'[2]ΣΥΣΤΑΣΗ ΤΡΟΦΙΜΩΝ'!F27</f>
        <v>0</v>
      </c>
      <c r="H10" s="11">
        <f>2*'[2]ΣΥΣΤΑΣΗ ΤΡΟΦΙΜΩΝ'!G27</f>
        <v>0</v>
      </c>
      <c r="I10" s="11">
        <f>2*'[2]ΣΥΣΤΑΣΗ ΤΡΟΦΙΜΩΝ'!H27</f>
        <v>0</v>
      </c>
      <c r="J10" s="11">
        <f>2*'[2]ΣΥΣΤΑΣΗ ΤΡΟΦΙΜΩΝ'!I27</f>
        <v>0</v>
      </c>
      <c r="K10" s="11">
        <f>2*'[2]ΣΥΣΤΑΣΗ ΤΡΟΦΙΜΩΝ'!J27</f>
        <v>210</v>
      </c>
      <c r="L10" s="11">
        <f>2*'[2]ΣΥΣΤΑΣΗ ΤΡΟΦΙΜΩΝ'!K27</f>
        <v>4</v>
      </c>
      <c r="M10" s="11" t="str">
        <f>'[2]ΣΥΣΤΑΣΗ ΤΡΟΦΙΜΩΝ'!L27</f>
        <v>tr</v>
      </c>
      <c r="N10" s="11" t="str">
        <f>'[2]ΣΥΣΤΑΣΗ ΤΡΟΦΙΜΩΝ'!M27</f>
        <v>tr</v>
      </c>
      <c r="O10" s="11">
        <f>2*'[2]ΣΥΣΤΑΣΗ ΤΡΟΦΙΜΩΝ'!N27</f>
        <v>0</v>
      </c>
      <c r="P10" s="11">
        <f>2*'[2]ΣΥΣΤΑΣΗ ΤΡΟΦΙΜΩΝ'!O27</f>
        <v>0</v>
      </c>
      <c r="Q10" s="11" t="str">
        <f>'[2]ΣΥΣΤΑΣΗ ΤΡΟΦΙΜΩΝ'!P27</f>
        <v>tr</v>
      </c>
      <c r="R10" s="11">
        <f>2*'[2]ΣΥΣΤΑΣΗ ΤΡΟΦΙΜΩΝ'!Q27</f>
        <v>4</v>
      </c>
      <c r="S10" s="11" t="s">
        <v>24</v>
      </c>
      <c r="T10" s="11">
        <f>2*'[2]ΣΥΣΤΑΣΗ ΤΡΟΦΙΜΩΝ'!S27</f>
        <v>0.4</v>
      </c>
      <c r="U10" s="11">
        <f>2*'[2]ΣΥΣΤΑΣΗ ΤΡΟΦΙΜΩΝ'!T27</f>
        <v>0.04</v>
      </c>
      <c r="V10" s="16" t="str">
        <f>'[2]ΣΥΣΤΑΣΗ ΤΡΟΦΙΜΩΝ'!U27</f>
        <v>tr</v>
      </c>
    </row>
    <row r="11" spans="1:22" ht="14.25">
      <c r="A11" s="15" t="s">
        <v>71</v>
      </c>
      <c r="B11" s="11">
        <v>1200</v>
      </c>
      <c r="C11" s="11"/>
      <c r="D11" s="11">
        <v>1200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6"/>
    </row>
    <row r="12" spans="1:22" ht="14.25">
      <c r="A12" s="15" t="s">
        <v>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6"/>
    </row>
    <row r="13" spans="1:22" ht="14.25">
      <c r="A13" s="15" t="s">
        <v>2</v>
      </c>
      <c r="B13" s="11">
        <f>SUM(B5:B12)+0.19*2013-0.23*2013</f>
        <v>1932.4800000000002</v>
      </c>
      <c r="C13" s="11">
        <f>SUM(C5:C12)+0.19*2019*9</f>
        <v>6630.89</v>
      </c>
      <c r="D13" s="11">
        <f>SUM(D5:D12)-0.23*2013</f>
        <v>912.8475000000001</v>
      </c>
      <c r="E13" s="11">
        <f>SUM(E5:E12)</f>
        <v>489.2875</v>
      </c>
      <c r="F13" s="11">
        <f>SUM(F5:F12)</f>
        <v>44.6</v>
      </c>
      <c r="G13" s="11">
        <f>SUM(G5:G12)+0.19*2013</f>
        <v>497.1725</v>
      </c>
      <c r="H13" s="11">
        <f aca="true" t="shared" si="0" ref="H13:V13">SUM(H5:H12)</f>
        <v>9.25</v>
      </c>
      <c r="I13" s="11">
        <f t="shared" si="0"/>
        <v>0</v>
      </c>
      <c r="J13" s="11">
        <f t="shared" si="0"/>
        <v>184.75</v>
      </c>
      <c r="K13" s="11">
        <f t="shared" si="0"/>
        <v>213.5</v>
      </c>
      <c r="L13" s="11">
        <f t="shared" si="0"/>
        <v>62.75</v>
      </c>
      <c r="M13" s="11">
        <f t="shared" si="0"/>
        <v>470</v>
      </c>
      <c r="N13" s="11">
        <f t="shared" si="0"/>
        <v>136.25</v>
      </c>
      <c r="O13" s="11">
        <f t="shared" si="0"/>
        <v>1800</v>
      </c>
      <c r="P13" s="11">
        <f t="shared" si="0"/>
        <v>0.7737499999999999</v>
      </c>
      <c r="Q13" s="11">
        <f t="shared" si="0"/>
        <v>1208.75</v>
      </c>
      <c r="R13" s="11">
        <f t="shared" si="0"/>
        <v>561.5</v>
      </c>
      <c r="S13" s="11">
        <f t="shared" si="0"/>
        <v>5.2875</v>
      </c>
      <c r="T13" s="11">
        <f t="shared" si="0"/>
        <v>3.9625</v>
      </c>
      <c r="U13" s="11">
        <f t="shared" si="0"/>
        <v>0.7262500000000001</v>
      </c>
      <c r="V13" s="16">
        <f t="shared" si="0"/>
        <v>105</v>
      </c>
    </row>
    <row r="14" spans="1:22" ht="28.5">
      <c r="A14" s="18" t="s">
        <v>32</v>
      </c>
      <c r="B14" s="19">
        <v>100</v>
      </c>
      <c r="C14" s="19">
        <f aca="true" t="shared" si="1" ref="C14:V14">100*C13/$B$13</f>
        <v>343.1285187945024</v>
      </c>
      <c r="D14" s="19">
        <f t="shared" si="1"/>
        <v>47.23709947839046</v>
      </c>
      <c r="E14" s="19">
        <f t="shared" si="1"/>
        <v>25.319149486669975</v>
      </c>
      <c r="F14" s="19">
        <f t="shared" si="1"/>
        <v>2.307915217751283</v>
      </c>
      <c r="G14" s="19">
        <f t="shared" si="1"/>
        <v>25.72717440801457</v>
      </c>
      <c r="H14" s="19">
        <f t="shared" si="1"/>
        <v>0.478659546282497</v>
      </c>
      <c r="I14" s="19">
        <f t="shared" si="1"/>
        <v>0</v>
      </c>
      <c r="J14" s="19">
        <f t="shared" si="1"/>
        <v>9.56025418115582</v>
      </c>
      <c r="K14" s="19">
        <f t="shared" si="1"/>
        <v>11.047979797979796</v>
      </c>
      <c r="L14" s="19">
        <f t="shared" si="1"/>
        <v>3.247122868024507</v>
      </c>
      <c r="M14" s="19">
        <f t="shared" si="1"/>
        <v>24.321079648948498</v>
      </c>
      <c r="N14" s="19">
        <f t="shared" si="1"/>
        <v>7.0505257492962405</v>
      </c>
      <c r="O14" s="19">
        <f t="shared" si="1"/>
        <v>93.1445603576751</v>
      </c>
      <c r="P14" s="19">
        <f t="shared" si="1"/>
        <v>0.040039224209306175</v>
      </c>
      <c r="Q14" s="19">
        <f t="shared" si="1"/>
        <v>62.54915962907766</v>
      </c>
      <c r="R14" s="19">
        <f t="shared" si="1"/>
        <v>29.055928133796982</v>
      </c>
      <c r="S14" s="19">
        <f t="shared" si="1"/>
        <v>0.2736121460506706</v>
      </c>
      <c r="T14" s="19">
        <f t="shared" si="1"/>
        <v>0.20504740023182644</v>
      </c>
      <c r="U14" s="19">
        <f t="shared" si="1"/>
        <v>0.03758124275542308</v>
      </c>
      <c r="V14" s="20">
        <f t="shared" si="1"/>
        <v>5.433432687531048</v>
      </c>
    </row>
    <row r="15" spans="23:47" ht="14.25"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8" spans="1:22" ht="60">
      <c r="A18" s="4"/>
      <c r="B18" s="5" t="s">
        <v>82</v>
      </c>
      <c r="C18" s="6" t="s">
        <v>83</v>
      </c>
      <c r="D18" s="6" t="s">
        <v>84</v>
      </c>
      <c r="E18" s="6" t="s">
        <v>18</v>
      </c>
      <c r="F18" s="6" t="s">
        <v>85</v>
      </c>
      <c r="G18" s="6" t="s">
        <v>86</v>
      </c>
      <c r="H18" s="6" t="s">
        <v>87</v>
      </c>
      <c r="I18" s="6" t="s">
        <v>88</v>
      </c>
      <c r="J18" s="6" t="s">
        <v>89</v>
      </c>
      <c r="K18" s="6" t="s">
        <v>90</v>
      </c>
      <c r="L18" s="6" t="s">
        <v>91</v>
      </c>
      <c r="M18" s="6" t="s">
        <v>92</v>
      </c>
      <c r="N18" s="6" t="s">
        <v>17</v>
      </c>
      <c r="O18" s="6" t="s">
        <v>16</v>
      </c>
      <c r="P18" s="6" t="s">
        <v>15</v>
      </c>
      <c r="Q18" s="6" t="s">
        <v>14</v>
      </c>
      <c r="R18" s="6" t="s">
        <v>13</v>
      </c>
      <c r="S18" s="6" t="s">
        <v>93</v>
      </c>
      <c r="T18" s="6" t="s">
        <v>94</v>
      </c>
      <c r="U18" s="7" t="s">
        <v>95</v>
      </c>
      <c r="V18" s="8"/>
    </row>
    <row r="19" spans="1:21" ht="14.25">
      <c r="A19" s="12" t="s">
        <v>74</v>
      </c>
      <c r="B19" s="13">
        <f>2.5*'[2]ΣΥΣΤΑΣΗ ΤΡΟΦΙΜΩΝ'!V6</f>
        <v>0</v>
      </c>
      <c r="C19" s="13">
        <f>2.5*'[2]ΣΥΣΤΑΣΗ ΤΡΟΦΙΜΩΝ'!W6*0.75</f>
        <v>0.1875</v>
      </c>
      <c r="D19" s="13">
        <f>2.5*'[2]ΣΥΣΤΑΣΗ ΤΡΟΦΙΜΩΝ'!X6*0.9</f>
        <v>0.0675</v>
      </c>
      <c r="E19" s="13">
        <f>2.5*'[2]ΣΥΣΤΑΣΗ ΤΡΟΦΙΜΩΝ'!Y6</f>
        <v>0</v>
      </c>
      <c r="F19" s="13">
        <f>2.5*'[2]ΣΥΣΤΑΣΗ ΤΡΟΦΙΜΩΝ'!Z6*0.9</f>
        <v>1.575</v>
      </c>
      <c r="G19" s="13">
        <f>2.5*'[2]ΣΥΣΤΑΣΗ ΤΡΟΦΙΜΩΝ'!AA6*0.9</f>
        <v>0.3375</v>
      </c>
      <c r="H19" s="13">
        <f>2.5*'[2]ΣΥΣΤΑΣΗ ΤΡΟΦΙΜΩΝ'!AB6</f>
        <v>0</v>
      </c>
      <c r="I19" s="13">
        <f>2.5*'[2]ΣΥΣΤΑΣΗ ΤΡΟΦΙΜΩΝ'!AC6*0.65</f>
        <v>50.375</v>
      </c>
      <c r="J19" s="13">
        <f>2.5*'[2]ΣΥΣΤΑΣΗ ΤΡΟΦΙΜΩΝ'!AD6</f>
        <v>0</v>
      </c>
      <c r="K19" s="13">
        <f>2.5*'[2]ΣΥΣΤΑΣΗ ΤΡΟΦΙΜΩΝ'!AE6</f>
        <v>0</v>
      </c>
      <c r="L19" s="13">
        <f>2.5*'[2]ΣΥΣΤΑΣΗ ΤΡΟΦΙΜΩΝ'!AF6</f>
        <v>0</v>
      </c>
      <c r="M19" s="13">
        <f>2.5*'[2]ΣΥΣΤΑΣΗ ΤΡΟΦΙΜΩΝ'!AG6</f>
        <v>0.75</v>
      </c>
      <c r="N19" s="13">
        <f>'[2]ΣΥΣΤΑΣΗ ΤΡΟΦΙΜΩΝ'!AH6</f>
        <v>3.501945525291829</v>
      </c>
      <c r="O19" s="13">
        <f>'[2]ΣΥΣΤΑΣΗ ΤΡΟΦΙΜΩΝ'!AI6</f>
        <v>12.784880489160644</v>
      </c>
      <c r="P19" s="13">
        <f>'[2]ΣΥΣΤΑΣΗ ΤΡΟΦΙΜΩΝ'!AJ6</f>
        <v>83.71317398554753</v>
      </c>
      <c r="Q19" s="13">
        <f>'[2]ΣΥΣΤΑΣΗ ΤΡΟΦΙΜΩΝ'!AK6</f>
        <v>0.500277932184547</v>
      </c>
      <c r="R19" s="13">
        <f>'[2]ΣΥΣΤΑΣΗ ΤΡΟΦΙΜΩΝ'!AL6</f>
        <v>1.556420233463035</v>
      </c>
      <c r="S19" s="13">
        <f>2.5*'[2]ΣΥΣΤΑΣΗ ΤΡΟΦΙΜΩΝ'!AM6</f>
        <v>0.5</v>
      </c>
      <c r="T19" s="13">
        <f>2.5*'[2]ΣΥΣΤΑΣΗ ΤΡΟΦΙΜΩΝ'!AN6</f>
        <v>0.25</v>
      </c>
      <c r="U19" s="14">
        <f>2.5*'[2]ΣΥΣΤΑΣΗ ΤΡΟΦΙΜΩΝ'!AO6</f>
        <v>1.5</v>
      </c>
    </row>
    <row r="20" spans="1:21" ht="14.25">
      <c r="A20" s="15" t="s">
        <v>73</v>
      </c>
      <c r="B20" s="11" t="str">
        <f>'[2]ΣΥΣΤΑΣΗ ΤΡΟΦΙΜΩΝ'!V11</f>
        <v>n</v>
      </c>
      <c r="C20" s="11" t="str">
        <f>'[2]ΣΥΣΤΑΣΗ ΤΡΟΦΙΜΩΝ'!W11</f>
        <v>tr</v>
      </c>
      <c r="D20" s="11" t="str">
        <f>'[2]ΣΥΣΤΑΣΗ ΤΡΟΦΙΜΩΝ'!X11</f>
        <v>tr</v>
      </c>
      <c r="E20" s="11" t="str">
        <f>'[2]ΣΥΣΤΑΣΗ ΤΡΟΦΙΜΩΝ'!Y11</f>
        <v>tr</v>
      </c>
      <c r="F20" s="11" t="str">
        <f>'[2]ΣΥΣΤΑΣΗ ΤΡΟΦΙΜΩΝ'!Z11</f>
        <v>tr</v>
      </c>
      <c r="G20" s="11" t="str">
        <f>'[2]ΣΥΣΤΑΣΗ ΤΡΟΦΙΜΩΝ'!AA11</f>
        <v>tr</v>
      </c>
      <c r="H20" s="11">
        <f>'[2]ΣΥΣΤΑΣΗ ΤΡΟΦΙΜΩΝ'!AB11</f>
        <v>0</v>
      </c>
      <c r="I20" s="11" t="str">
        <f>'[2]ΣΥΣΤΑΣΗ ΤΡΟΦΙΜΩΝ'!AC11</f>
        <v>tr</v>
      </c>
      <c r="J20" s="11">
        <f>1.1*'[2]ΣΥΣΤΑΣΗ ΤΡΟΦΙΜΩΝ'!AD11</f>
        <v>0</v>
      </c>
      <c r="K20" s="11">
        <f>1.1*'[2]ΣΥΣΤΑΣΗ ΤΡΟΦΙΜΩΝ'!AE11</f>
        <v>0</v>
      </c>
      <c r="L20" s="11">
        <f>1.1*'[2]ΣΥΣΤΑΣΗ ΤΡΟΦΙΜΩΝ'!AF11</f>
        <v>0</v>
      </c>
      <c r="M20" s="11">
        <f>1.1*'[2]ΣΥΣΤΑΣΗ ΤΡΟΦΙΜΩΝ'!AG11</f>
        <v>18.964</v>
      </c>
      <c r="N20" s="11">
        <f>'[2]ΣΥΣΤΑΣΗ ΤΡΟΦΙΜΩΝ'!AH11</f>
        <v>100.0111234705228</v>
      </c>
      <c r="O20" s="11" t="s">
        <v>24</v>
      </c>
      <c r="P20" s="11" t="s">
        <v>24</v>
      </c>
      <c r="Q20" s="11">
        <f>'[2]ΣΥΣΤΑΣΗ ΤΡΟΦΙΜΩΝ'!AK11</f>
        <v>12.714126807563959</v>
      </c>
      <c r="R20" s="11">
        <f>'[2]ΣΥΣΤΑΣΗ ΤΡΟΦΙΜΩΝ'!AL11</f>
        <v>0</v>
      </c>
      <c r="S20" s="11">
        <f>1.1*'[2]ΣΥΣΤΑΣΗ ΤΡΟΦΙΜΩΝ'!AM11</f>
        <v>13.97</v>
      </c>
      <c r="T20" s="11">
        <f>1.1*'[2]ΣΥΣΤΑΣΗ ΤΡΟΦΙΜΩΝ'!AN11</f>
        <v>27.17</v>
      </c>
      <c r="U20" s="16">
        <f>1.1*'[2]ΣΥΣΤΑΣΗ ΤΡΟΦΙΜΩΝ'!AO11</f>
        <v>63.580000000000005</v>
      </c>
    </row>
    <row r="21" spans="1:21" ht="14.25">
      <c r="A21" s="15" t="s">
        <v>41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6"/>
    </row>
    <row r="22" spans="1:21" ht="14.25">
      <c r="A22" s="15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6"/>
    </row>
    <row r="23" spans="1:21" ht="14.25">
      <c r="A23" s="15" t="s">
        <v>72</v>
      </c>
      <c r="B23" s="11">
        <f>1.25*'[2]ΣΥΣΤΑΣΗ ΤΡΟΦΙΜΩΝ'!V78</f>
        <v>0</v>
      </c>
      <c r="C23" s="11">
        <f>1.25*'[2]ΣΥΣΤΑΣΗ ΤΡΟΦΙΜΩΝ'!W78*0.75</f>
        <v>0.2625</v>
      </c>
      <c r="D23" s="11">
        <f>1.25*'[2]ΣΥΣΤΑΣΗ ΤΡΟΦΙΜΩΝ'!X78*0.9</f>
        <v>0.09000000000000001</v>
      </c>
      <c r="E23" s="11">
        <f>1.25*'[2]ΣΥΣΤΑΣΗ ΤΡΟΦΙΜΩΝ'!Y78</f>
        <v>0</v>
      </c>
      <c r="F23" s="11">
        <f>1.25*'[2]ΣΥΣΤΑΣΗ ΤΡΟΦΙΜΩΝ'!Z78*0.9</f>
        <v>3.7237500000000003</v>
      </c>
      <c r="G23" s="11">
        <f>1.25*'[2]ΣΥΣΤΑΣΗ ΤΡΟΦΙΜΩΝ'!AA78*0.9</f>
        <v>0.115875</v>
      </c>
      <c r="H23" s="11">
        <f>1.25*'[2]ΣΥΣΤΑΣΗ ΤΡΟΦΙΜΩΝ'!AB78</f>
        <v>0</v>
      </c>
      <c r="I23" s="11">
        <f>1.25*'[2]ΣΥΣΤΑΣΗ ΤΡΟΦΙΜΩΝ'!AC78*0.65</f>
        <v>58.5</v>
      </c>
      <c r="J23" s="11">
        <f>1.25*'[2]ΣΥΣΤΑΣΗ ΤΡΟΦΙΜΩΝ'!AD78</f>
        <v>0</v>
      </c>
      <c r="K23" s="11">
        <f>1.25*'[2]ΣΥΣΤΑΣΗ ΤΡΟΦΙΜΩΝ'!AE78</f>
        <v>0</v>
      </c>
      <c r="L23" s="11">
        <f>1.25*'[2]ΣΥΣΤΑΣΗ ΤΡΟΦΙΜΩΝ'!AF78</f>
        <v>0</v>
      </c>
      <c r="M23" s="11">
        <f>1.25*'[2]ΣΥΣΤΑΣΗ ΤΡΟΦΙΜΩΝ'!AG78</f>
        <v>0</v>
      </c>
      <c r="N23" s="11">
        <f>'[2]ΣΥΣΤΑΣΗ ΤΡΟΦΙΜΩΝ'!AH78</f>
        <v>2.6250000000000004</v>
      </c>
      <c r="O23" s="11">
        <f>'[2]ΣΥΣΤΑΣΗ ΤΡΟΦΙΜΩΝ'!AI78</f>
        <v>14.088888888888889</v>
      </c>
      <c r="P23" s="11">
        <f>'[2]ΣΥΣΤΑΣΗ ΤΡΟΦΙΜΩΝ'!AJ78</f>
        <v>80.92222222222222</v>
      </c>
      <c r="Q23" s="11">
        <f>'[2]ΣΥΣΤΑΣΗ ΤΡΟΦΙΜΩΝ'!AK78</f>
        <v>0.375</v>
      </c>
      <c r="R23" s="11">
        <f>'[2]ΣΥΣΤΑΣΗ ΤΡΟΦΙΜΩΝ'!AL78</f>
        <v>0</v>
      </c>
      <c r="S23" s="11">
        <f>1.25*'[2]ΣΥΣΤΑΣΗ ΤΡΟΦΙΜΩΝ'!AM78</f>
        <v>0.1875</v>
      </c>
      <c r="T23" s="11">
        <f>1.25*'[2]ΣΥΣΤΑΣΗ ΤΡΟΦΙΜΩΝ'!AN78</f>
        <v>0.155</v>
      </c>
      <c r="U23" s="16">
        <f>1.25*'[2]ΣΥΣΤΑΣΗ ΤΡΟΦΙΜΩΝ'!AO78</f>
        <v>0.5375</v>
      </c>
    </row>
    <row r="24" spans="1:21" ht="14.25">
      <c r="A24" s="15" t="s">
        <v>5</v>
      </c>
      <c r="B24" s="11" t="str">
        <f>'[2]ΣΥΣΤΑΣΗ ΤΡΟΦΙΜΩΝ'!V27</f>
        <v>tr</v>
      </c>
      <c r="C24" s="11">
        <f>'[2]ΣΥΣΤΑΣΗ ΤΡΟΦΙΜΩΝ'!W27</f>
        <v>0</v>
      </c>
      <c r="D24" s="11">
        <f>'[2]ΣΥΣΤΑΣΗ ΤΡΟΦΙΜΩΝ'!X27</f>
        <v>0</v>
      </c>
      <c r="E24" s="11">
        <f>'[2]ΣΥΣΤΑΣΗ ΤΡΟΦΙΜΩΝ'!Y27</f>
        <v>0</v>
      </c>
      <c r="F24" s="11">
        <f>2*'[2]ΣΥΣΤΑΣΗ ΤΡΟΦΙΜΩΝ'!Z27</f>
        <v>0</v>
      </c>
      <c r="G24" s="11">
        <f>2*'[2]ΣΥΣΤΑΣΗ ΤΡΟΦΙΜΩΝ'!AA27</f>
        <v>0</v>
      </c>
      <c r="H24" s="11">
        <f>2*'[2]ΣΥΣΤΑΣΗ ΤΡΟΦΙΜΩΝ'!AB27</f>
        <v>0</v>
      </c>
      <c r="I24" s="11">
        <f>2*'[2]ΣΥΣΤΑΣΗ ΤΡΟΦΙΜΩΝ'!AC27</f>
        <v>0</v>
      </c>
      <c r="J24" s="11">
        <f>2*'[2]ΣΥΣΤΑΣΗ ΤΡΟΦΙΜΩΝ'!AD27</f>
        <v>0</v>
      </c>
      <c r="K24" s="11">
        <f>2*'[2]ΣΥΣΤΑΣΗ ΤΡΟΦΙΜΩΝ'!AE27</f>
        <v>0</v>
      </c>
      <c r="L24" s="11">
        <f>2*'[2]ΣΥΣΤΑΣΗ ΤΡΟΦΙΜΩΝ'!AF27</f>
        <v>0</v>
      </c>
      <c r="M24" s="11">
        <f>2*'[2]ΣΥΣΤΑΣΗ ΤΡΟΦΙΜΩΝ'!AG27</f>
        <v>0</v>
      </c>
      <c r="N24" s="11">
        <f>'[2]ΣΥΣΤΑΣΗ ΤΡΟΦΙΜΩΝ'!AH27</f>
        <v>0</v>
      </c>
      <c r="O24" s="11">
        <v>0</v>
      </c>
      <c r="P24" s="11">
        <f>'[2]ΣΥΣΤΑΣΗ ΤΡΟΦΙΜΩΝ'!AJ27</f>
        <v>100</v>
      </c>
      <c r="Q24" s="11">
        <f>'[2]ΣΥΣΤΑΣΗ ΤΡΟΦΙΜΩΝ'!AK27</f>
        <v>0</v>
      </c>
      <c r="R24" s="11">
        <f>'[2]ΣΥΣΤΑΣΗ ΤΡΟΦΙΜΩΝ'!AL27</f>
        <v>100</v>
      </c>
      <c r="S24" s="11">
        <f>2*'[2]ΣΥΣΤΑΣΗ ΤΡΟΦΙΜΩΝ'!AM27</f>
        <v>0</v>
      </c>
      <c r="T24" s="11">
        <f>2*'[2]ΣΥΣΤΑΣΗ ΤΡΟΦΙΜΩΝ'!AN27</f>
        <v>0</v>
      </c>
      <c r="U24" s="16">
        <f>2*'[2]ΣΥΣΤΑΣΗ ΤΡΟΦΙΜΩΝ'!AO27</f>
        <v>0</v>
      </c>
    </row>
    <row r="25" spans="1:21" ht="14.25">
      <c r="A25" s="15" t="s">
        <v>71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6"/>
    </row>
    <row r="26" spans="1:21" ht="14.25">
      <c r="A26" s="15" t="s">
        <v>70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6"/>
    </row>
    <row r="27" spans="1:21" ht="14.25">
      <c r="A27" s="15" t="s">
        <v>2</v>
      </c>
      <c r="B27" s="11">
        <f aca="true" t="shared" si="2" ref="B27:M27">SUM(B19:B26)</f>
        <v>0</v>
      </c>
      <c r="C27" s="11">
        <f t="shared" si="2"/>
        <v>0.45</v>
      </c>
      <c r="D27" s="11">
        <f t="shared" si="2"/>
        <v>0.15750000000000003</v>
      </c>
      <c r="E27" s="11">
        <f t="shared" si="2"/>
        <v>0</v>
      </c>
      <c r="F27" s="11">
        <f t="shared" si="2"/>
        <v>5.29875</v>
      </c>
      <c r="G27" s="11">
        <f t="shared" si="2"/>
        <v>0.45337500000000003</v>
      </c>
      <c r="H27" s="11">
        <f t="shared" si="2"/>
        <v>0</v>
      </c>
      <c r="I27" s="11">
        <f t="shared" si="2"/>
        <v>108.875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19.714</v>
      </c>
      <c r="N27" s="23">
        <f>G13*9*100/C13</f>
        <v>67.48042118026389</v>
      </c>
      <c r="O27" s="23">
        <f>4*F13*100/C13</f>
        <v>2.690438236797775</v>
      </c>
      <c r="P27" s="23">
        <f>4*E13*100/C13</f>
        <v>29.515645712717294</v>
      </c>
      <c r="Q27" s="23">
        <f>S27*9*100/C13</f>
        <v>1.9894388234460232</v>
      </c>
      <c r="R27" s="23">
        <f>4*K13*100/C13</f>
        <v>12.879115774805493</v>
      </c>
      <c r="S27" s="11">
        <f>SUM(S19:S26)</f>
        <v>14.6575</v>
      </c>
      <c r="T27" s="11">
        <f>SUM(T19:T26)</f>
        <v>27.575000000000003</v>
      </c>
      <c r="U27" s="16">
        <f>SUM(U19:U26)</f>
        <v>65.6175</v>
      </c>
    </row>
    <row r="28" spans="1:21" ht="28.5">
      <c r="A28" s="18" t="s">
        <v>32</v>
      </c>
      <c r="B28" s="19">
        <f aca="true" t="shared" si="3" ref="B28:M28">100*B27/$B$13</f>
        <v>0</v>
      </c>
      <c r="C28" s="19">
        <f t="shared" si="3"/>
        <v>0.023286140089418775</v>
      </c>
      <c r="D28" s="19">
        <f t="shared" si="3"/>
        <v>0.008150149031296574</v>
      </c>
      <c r="E28" s="19">
        <f t="shared" si="3"/>
        <v>0</v>
      </c>
      <c r="F28" s="19">
        <f t="shared" si="3"/>
        <v>0.2741942995529061</v>
      </c>
      <c r="G28" s="19">
        <f t="shared" si="3"/>
        <v>0.02346078614008942</v>
      </c>
      <c r="H28" s="19">
        <f t="shared" si="3"/>
        <v>0</v>
      </c>
      <c r="I28" s="19">
        <f t="shared" si="3"/>
        <v>5.633952227189932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1.0201399238284483</v>
      </c>
      <c r="N28" s="19"/>
      <c r="O28" s="19"/>
      <c r="P28" s="19"/>
      <c r="Q28" s="19"/>
      <c r="R28" s="19"/>
      <c r="S28" s="19">
        <f>100*S27/$B$13</f>
        <v>0.758481329690346</v>
      </c>
      <c r="T28" s="19">
        <f>100*T27/$B$13</f>
        <v>1.4269229177016063</v>
      </c>
      <c r="U28" s="20">
        <f>100*U27/$B$13</f>
        <v>3.3955073273720817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1"/>
  <sheetViews>
    <sheetView view="pageLayout" zoomScale="55" zoomScaleNormal="55" zoomScalePageLayoutView="55" workbookViewId="0" topLeftCell="A29">
      <selection activeCell="C8" sqref="C8"/>
    </sheetView>
  </sheetViews>
  <sheetFormatPr defaultColWidth="9.140625" defaultRowHeight="15"/>
  <cols>
    <col min="1" max="1" width="24.7109375" style="2" customWidth="1"/>
    <col min="2" max="3" width="9.140625" style="1" customWidth="1"/>
    <col min="4" max="4" width="11.140625" style="1" customWidth="1"/>
    <col min="5" max="5" width="16.57421875" style="1" customWidth="1"/>
    <col min="6" max="8" width="9.140625" style="1" customWidth="1"/>
    <col min="9" max="9" width="12.57421875" style="1" customWidth="1"/>
    <col min="10" max="12" width="9.140625" style="1" customWidth="1"/>
    <col min="13" max="13" width="11.8515625" style="1" customWidth="1"/>
    <col min="14" max="14" width="11.28125" style="1" customWidth="1"/>
    <col min="15" max="15" width="9.140625" style="1" customWidth="1"/>
    <col min="16" max="16" width="13.8515625" style="1" customWidth="1"/>
    <col min="17" max="17" width="10.421875" style="1" customWidth="1"/>
    <col min="18" max="18" width="11.140625" style="1" customWidth="1"/>
    <col min="19" max="19" width="10.421875" style="1" customWidth="1"/>
    <col min="20" max="21" width="9.140625" style="1" customWidth="1"/>
    <col min="22" max="22" width="10.57421875" style="1" customWidth="1"/>
    <col min="23" max="16384" width="9.140625" style="1" customWidth="1"/>
  </cols>
  <sheetData>
    <row r="1" spans="1:47" ht="18">
      <c r="A1" s="26" t="s">
        <v>128</v>
      </c>
      <c r="B1" s="26"/>
      <c r="C1" s="26"/>
      <c r="D1" s="2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" ht="18">
      <c r="A2" s="26" t="s">
        <v>129</v>
      </c>
      <c r="B2" s="26"/>
      <c r="C2" s="26"/>
      <c r="D2" s="26"/>
    </row>
    <row r="4" spans="1:22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</row>
    <row r="5" spans="1:22" ht="14.25">
      <c r="A5" s="12" t="s">
        <v>42</v>
      </c>
      <c r="B5" s="13">
        <v>875</v>
      </c>
      <c r="C5" s="13">
        <f>8.75*'[2]ΣΥΣΤΑΣΗ ΤΡΟΦΙΜΩΝ'!B7</f>
        <v>2712.5</v>
      </c>
      <c r="D5" s="13">
        <f>8.75*'[2]ΣΥΣΤΑΣΗ ΤΡΟΦΙΜΩΝ'!C7</f>
        <v>122.5</v>
      </c>
      <c r="E5" s="13">
        <f>8.75*'[2]ΣΥΣΤΑΣΗ ΤΡΟΦΙΜΩΝ'!D7</f>
        <v>559.125</v>
      </c>
      <c r="F5" s="13">
        <f>8.75*'[2]ΣΥΣΤΑΣΗ ΤΡΟΦΙΜΩΝ'!E7</f>
        <v>111.125</v>
      </c>
      <c r="G5" s="13">
        <f>8.75*'[2]ΣΥΣΤΑΣΗ ΤΡΟΦΙΜΩΝ'!F7</f>
        <v>19.25</v>
      </c>
      <c r="H5" s="13">
        <f>8.75*'[2]ΣΥΣΤΑΣΗ ΤΡΟΦΙΜΩΝ'!G7</f>
        <v>75.25</v>
      </c>
      <c r="I5" s="13">
        <f>8.75*'[2]ΣΥΣΤΑΣΗ ΤΡΟΦΙΜΩΝ'!H7</f>
        <v>0</v>
      </c>
      <c r="J5" s="13">
        <f>8.75*'[2]ΣΥΣΤΑΣΗ ΤΡΟΦΙΜΩΝ'!I7</f>
        <v>540.75</v>
      </c>
      <c r="K5" s="13">
        <f>8.75*'[2]ΣΥΣΤΑΣΗ ΤΡΟΦΙΜΩΝ'!J7</f>
        <v>18.375</v>
      </c>
      <c r="L5" s="13">
        <f>8.75*'[2]ΣΥΣΤΑΣΗ ΤΡΟΦΙΜΩΝ'!K7</f>
        <v>332.5</v>
      </c>
      <c r="M5" s="13">
        <f>8.75*'[2]ΣΥΣΤΑΣΗ ΤΡΟΦΙΜΩΝ'!L7</f>
        <v>2800</v>
      </c>
      <c r="N5" s="13">
        <f>8.75*'[2]ΣΥΣΤΑΣΗ ΤΡΟΦΙΜΩΝ'!M7</f>
        <v>1050</v>
      </c>
      <c r="O5" s="13">
        <f>8.75*'[2]ΣΥΣΤΑΣΗ ΤΡΟΦΙΜΩΝ'!N7</f>
        <v>0</v>
      </c>
      <c r="P5" s="13">
        <f>8.75*'[2]ΣΥΣΤΑΣΗ ΤΡΟΦΙΜΩΝ'!O7</f>
        <v>0</v>
      </c>
      <c r="Q5" s="13">
        <f>8.75*'[2]ΣΥΣΤΑΣΗ ΤΡΟΦΙΜΩΝ'!P7</f>
        <v>26.25</v>
      </c>
      <c r="R5" s="13">
        <f>8.75*'[2]ΣΥΣΤΑΣΗ ΤΡΟΦΙΜΩΝ'!Q7</f>
        <v>2975</v>
      </c>
      <c r="S5" s="13">
        <f>8.75*'[2]ΣΥΣΤΑΣΗ ΤΡΟΦΙΜΩΝ'!R7</f>
        <v>34.125</v>
      </c>
      <c r="T5" s="13">
        <f>8.75*'[2]ΣΥΣΤΑΣΗ ΤΡΟΦΙΜΩΝ'!S7</f>
        <v>25.375</v>
      </c>
      <c r="U5" s="13">
        <f>8.75*'[2]ΣΥΣΤΑΣΗ ΤΡΟΦΙΜΩΝ'!T7</f>
        <v>3.9375</v>
      </c>
      <c r="V5" s="14">
        <f>8.75*'[2]ΣΥΣΤΑΣΗ ΤΡΟΦΙΜΩΝ'!U7</f>
        <v>463.75</v>
      </c>
    </row>
    <row r="6" spans="1:22" ht="14.25">
      <c r="A6" s="15" t="s">
        <v>62</v>
      </c>
      <c r="B6" s="11">
        <v>875</v>
      </c>
      <c r="C6" s="11">
        <f>8.75*'[2]ΣΥΣΤΑΣΗ ΤΡΟΦΙΜΩΝ'!B6</f>
        <v>3148.25</v>
      </c>
      <c r="D6" s="11">
        <f>8.75*'[2]ΣΥΣΤΑΣΗ ΤΡΟΦΙΜΩΝ'!C6</f>
        <v>122.5</v>
      </c>
      <c r="E6" s="11">
        <f>8.75*'[2]ΣΥΣΤΑΣΗ ΤΡΟΦΙΜΩΝ'!D6</f>
        <v>658.875</v>
      </c>
      <c r="F6" s="11">
        <f>8.75*'[2]ΣΥΣΤΑΣΗ ΤΡΟΦΙΜΩΝ'!E6</f>
        <v>100.625</v>
      </c>
      <c r="G6" s="11">
        <f>8.75*'[2]ΣΥΣΤΑΣΗ ΤΡΟΦΙΜΩΝ'!F6</f>
        <v>12.25</v>
      </c>
      <c r="H6" s="11">
        <f>8.75*'[2]ΣΥΣΤΑΣΗ ΤΡΟΦΙΜΩΝ'!G6</f>
        <v>32.375</v>
      </c>
      <c r="I6" s="11">
        <f>8.75*'[2]ΣΥΣΤΑΣΗ ΤΡΟΦΙΜΩΝ'!H6</f>
        <v>0</v>
      </c>
      <c r="J6" s="11">
        <f>8.75*'[2]ΣΥΣΤΑΣΗ ΤΡΟΦΙΜΩΝ'!I6</f>
        <v>646.625</v>
      </c>
      <c r="K6" s="11">
        <f>8.75*'[2]ΣΥΣΤΑΣΗ ΤΡΟΦΙΜΩΝ'!J6</f>
        <v>12.25</v>
      </c>
      <c r="L6" s="11">
        <f>8.75*'[2]ΣΥΣΤΑΣΗ ΤΡΟΦΙΜΩΝ'!K6</f>
        <v>131.25</v>
      </c>
      <c r="M6" s="11">
        <f>8.75*'[2]ΣΥΣΤΑΣΗ ΤΡΟΦΙΜΩΝ'!L6</f>
        <v>1050</v>
      </c>
      <c r="N6" s="11">
        <f>8.75*'[2]ΣΥΣΤΑΣΗ ΤΡΟΦΙΜΩΝ'!M6</f>
        <v>271.25</v>
      </c>
      <c r="O6" s="11">
        <f>8.75*'[2]ΣΥΣΤΑΣΗ ΤΡΟΦΙΜΩΝ'!N6</f>
        <v>0</v>
      </c>
      <c r="P6" s="11">
        <f>8.75*'[2]ΣΥΣΤΑΣΗ ΤΡΟΦΙΜΩΝ'!O6</f>
        <v>0</v>
      </c>
      <c r="Q6" s="11">
        <f>8.75*'[2]ΣΥΣΤΑΣΗ ΤΡΟΦΙΜΩΝ'!P6</f>
        <v>26.25</v>
      </c>
      <c r="R6" s="11">
        <f>8.75*'[2]ΣΥΣΤΑΣΗ ΤΡΟΦΙΜΩΝ'!Q6</f>
        <v>1137.5</v>
      </c>
      <c r="S6" s="11">
        <f>8.75*'[2]ΣΥΣΤΑΣΗ ΤΡΟΦΙΜΩΝ'!R6</f>
        <v>13.125</v>
      </c>
      <c r="T6" s="11">
        <f>8.75*'[2]ΣΥΣΤΑΣΗ ΤΡΟΦΙΜΩΝ'!S6</f>
        <v>7.875</v>
      </c>
      <c r="U6" s="11">
        <f>8.75*'[2]ΣΥΣΤΑΣΗ ΤΡΟΦΙΜΩΝ'!T6</f>
        <v>1.575</v>
      </c>
      <c r="V6" s="16">
        <f>8.75*'[2]ΣΥΣΤΑΣΗ ΤΡΟΦΙΜΩΝ'!U6</f>
        <v>367.5</v>
      </c>
    </row>
    <row r="7" spans="1:22" ht="14.25">
      <c r="A7" s="15" t="s">
        <v>41</v>
      </c>
      <c r="B7" s="11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1800</v>
      </c>
      <c r="P7" s="11"/>
      <c r="Q7" s="11">
        <v>1200</v>
      </c>
      <c r="R7" s="11"/>
      <c r="S7" s="11"/>
      <c r="T7" s="11"/>
      <c r="U7" s="11"/>
      <c r="V7" s="16"/>
    </row>
    <row r="8" spans="1:22" ht="14.25">
      <c r="A8" s="15" t="s">
        <v>40</v>
      </c>
      <c r="B8" s="11">
        <v>20</v>
      </c>
      <c r="C8" s="11">
        <f>0.2*'[2]ΣΥΣΤΑΣΗ ΤΡΟΦΙΜΩΝ'!B147</f>
        <v>7.4</v>
      </c>
      <c r="D8" s="11">
        <f>0.2*'[2]ΣΥΣΤΑΣΗ ΤΡΟΦΙΜΩΝ'!C111</f>
        <v>1.26</v>
      </c>
      <c r="E8" s="11">
        <f>0.2*'[2]ΣΥΣΤΑΣΗ ΤΡΟΦΙΜΩΝ'!D111</f>
        <v>7.56</v>
      </c>
      <c r="F8" s="11">
        <f>0.2*'[2]ΣΥΣΤΑΣΗ ΤΡΟΦΙΜΩΝ'!E111</f>
        <v>1.04</v>
      </c>
      <c r="G8" s="11" t="str">
        <f>'[2]ΣΥΣΤΑΣΗ ΤΡΟΦΙΜΩΝ'!F111</f>
        <v>tr</v>
      </c>
      <c r="H8" s="11">
        <f>0.2*'[2]ΣΥΣΤΑΣΗ ΤΡΟΦΙΜΩΝ'!G111</f>
        <v>0</v>
      </c>
      <c r="I8" s="11">
        <f>0.2*'[2]ΣΥΣΤΑΣΗ ΤΡΟΦΙΜΩΝ'!H111</f>
        <v>0</v>
      </c>
      <c r="J8" s="11">
        <f>0.2*'[2]ΣΥΣΤΑΣΗ ΤΡΟΦΙΜΩΝ'!I111</f>
        <v>7.56</v>
      </c>
      <c r="K8" s="11" t="str">
        <f>'[2]ΣΥΣΤΑΣΗ ΤΡΟΦΙΜΩΝ'!J111</f>
        <v>tr</v>
      </c>
      <c r="L8" s="11">
        <f>0.2*'[2]ΣΥΣΤΑΣΗ ΤΡΟΦΙΜΩΝ'!K111</f>
        <v>226</v>
      </c>
      <c r="M8" s="11">
        <f>0.2*'[2]ΣΥΣΤΑΣΗ ΤΡΟΦΙΜΩΝ'!L111</f>
        <v>1686</v>
      </c>
      <c r="N8" s="11">
        <f>0.2*'[2]ΣΥΣΤΑΣΗ ΤΡΟΦΙΜΩΝ'!M111</f>
        <v>1.8</v>
      </c>
      <c r="O8" s="11">
        <f>0.2*'[2]ΣΥΣΤΑΣΗ ΤΡΟΦΙΜΩΝ'!N111</f>
        <v>5.800000000000001</v>
      </c>
      <c r="P8" s="11" t="str">
        <f>'[2]ΣΥΣΤΑΣΗ ΤΡΟΦΙΜΩΝ'!O111</f>
        <v>tr</v>
      </c>
      <c r="Q8" s="11">
        <f>0.2*'[2]ΣΥΣΤΑΣΗ ΤΡΟΦΙΜΩΝ'!P111</f>
        <v>2360</v>
      </c>
      <c r="R8" s="11">
        <f>0.2*'[2]ΣΥΣΤΑΣΗ ΤΡΟΦΙΜΩΝ'!Q111</f>
        <v>9.8</v>
      </c>
      <c r="S8" s="11" t="str">
        <f>'[2]ΣΥΣΤΑΣΗ ΤΡΟΦΙΜΩΝ'!R111</f>
        <v>tr</v>
      </c>
      <c r="T8" s="11">
        <f>0.2*'[2]ΣΥΣΤΑΣΗ ΤΡΟΦΙΜΩΝ'!S111</f>
        <v>0.5599999999999999</v>
      </c>
      <c r="U8" s="11" t="str">
        <f>'[2]ΣΥΣΤΑΣΗ ΤΡΟΦΙΜΩΝ'!T111</f>
        <v>tr</v>
      </c>
      <c r="V8" s="16" t="str">
        <f>'[2]ΣΥΣΤΑΣΗ ΤΡΟΦΙΜΩΝ'!U111</f>
        <v>tr</v>
      </c>
    </row>
    <row r="9" spans="1:22" ht="28.5">
      <c r="A9" s="15" t="s">
        <v>39</v>
      </c>
      <c r="B9" s="11">
        <v>200</v>
      </c>
      <c r="C9" s="11">
        <f>2*'[2]ΣΥΣΤΑΣΗ ΤΡΟΦΙΜΩΝ'!B65</f>
        <v>152.2</v>
      </c>
      <c r="D9" s="11">
        <f>2*'[2]ΣΥΣΤΑΣΗ ΤΡΟΦΙΜΩΝ'!C65</f>
        <v>160.6</v>
      </c>
      <c r="E9" s="11">
        <f>2*'[2]ΣΥΣΤΑΣΗ ΤΡΟΦΙΜΩΝ'!D65</f>
        <v>34</v>
      </c>
      <c r="F9" s="11">
        <f>2*'[2]ΣΥΣΤΑΣΗ ΤΡΟΦΙΜΩΝ'!E65</f>
        <v>3.6</v>
      </c>
      <c r="G9" s="11">
        <f>2*'[2]ΣΥΣΤΑΣΗ ΤΡΟΦΙΜΩΝ'!F65</f>
        <v>0.2</v>
      </c>
      <c r="H9" s="11">
        <f>2*'[2]ΣΥΣΤΑΣΗ ΤΡΟΦΙΜΩΝ'!G65</f>
        <v>2.8</v>
      </c>
      <c r="I9" s="11">
        <f>2*'[2]ΣΥΣΤΑΣΗ ΤΡΟΦΙΜΩΝ'!H65</f>
        <v>0</v>
      </c>
      <c r="J9" s="11">
        <f>2*'[2]ΣΥΣΤΑΣΗ ΤΡΟΦΙΜΩΝ'!I65</f>
        <v>32.6</v>
      </c>
      <c r="K9" s="11">
        <f>2*'[2]ΣΥΣΤΑΣΗ ΤΡΟΦΙΜΩΝ'!J65</f>
        <v>1.4</v>
      </c>
      <c r="L9" s="11">
        <f>2*'[2]ΣΥΣΤΑΣΗ ΤΡΟΦΙΜΩΝ'!K65</f>
        <v>10</v>
      </c>
      <c r="M9" s="11">
        <f>2*'[2]ΣΥΣΤΑΣΗ ΤΡΟΦΙΜΩΝ'!L65</f>
        <v>62</v>
      </c>
      <c r="N9" s="11">
        <f>2*'[2]ΣΥΣΤΑΣΗ ΤΡΟΦΙΜΩΝ'!M65</f>
        <v>28</v>
      </c>
      <c r="O9" s="11">
        <f>2*'[2]ΣΥΣΤΑΣΗ ΤΡΟΦΙΜΩΝ'!N65</f>
        <v>90</v>
      </c>
      <c r="P9" s="11">
        <f>2*'[2]ΣΥΣΤΑΣΗ ΤΡΟΦΙΜΩΝ'!O65</f>
        <v>0.2</v>
      </c>
      <c r="Q9" s="11">
        <f>2*'[2]ΣΥΣΤΑΣΗ ΤΡΟΦΙΜΩΝ'!P65</f>
        <v>14</v>
      </c>
      <c r="R9" s="11">
        <f>2*'[2]ΣΥΣΤΑΣΗ ΤΡΟΦΙΜΩΝ'!Q65</f>
        <v>560</v>
      </c>
      <c r="S9" s="11">
        <f>2*'[2]ΣΥΣΤΑΣΗ ΤΡΟΦΙΜΩΝ'!R65</f>
        <v>0.8</v>
      </c>
      <c r="T9" s="11">
        <f>2*'[2]ΣΥΣΤΑΣΗ ΤΡΟΦΙΜΩΝ'!S65</f>
        <v>0.6</v>
      </c>
      <c r="U9" s="11">
        <f>2*'[2]ΣΥΣΤΑΣΗ ΤΡΟΦΙΜΩΝ'!T65</f>
        <v>0.14</v>
      </c>
      <c r="V9" s="16">
        <f>2*'[2]ΣΥΣΤΑΣΗ ΤΡΟΦΙΜΩΝ'!U65</f>
        <v>2</v>
      </c>
    </row>
    <row r="10" spans="1:22" ht="14.25">
      <c r="A10" s="15" t="s">
        <v>38</v>
      </c>
      <c r="B10" s="11">
        <v>875</v>
      </c>
      <c r="C10" s="11"/>
      <c r="D10" s="11">
        <v>875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6"/>
    </row>
    <row r="11" spans="1:22" ht="14.25">
      <c r="A11" s="17" t="s">
        <v>2</v>
      </c>
      <c r="B11" s="11">
        <f>SUM(B5:B10)-0.23*2848+0.19*2848</f>
        <v>2734.08</v>
      </c>
      <c r="C11" s="11">
        <f>SUM(C5:C10)+0.19*2848*9</f>
        <v>10890.43</v>
      </c>
      <c r="D11" s="11">
        <f>SUM(D5:D10)-0.23*2848</f>
        <v>626.82</v>
      </c>
      <c r="E11" s="11">
        <f>SUM(E5:E10)</f>
        <v>1259.56</v>
      </c>
      <c r="F11" s="11">
        <f>SUM(F5:F10)</f>
        <v>216.39</v>
      </c>
      <c r="G11" s="11">
        <f>SUM(G5:G10)+0.19*2848</f>
        <v>572.82</v>
      </c>
      <c r="H11" s="11">
        <f aca="true" t="shared" si="0" ref="H11:V11">SUM(H5:H10)</f>
        <v>110.425</v>
      </c>
      <c r="I11" s="11">
        <f t="shared" si="0"/>
        <v>0</v>
      </c>
      <c r="J11" s="11">
        <f t="shared" si="0"/>
        <v>1227.5349999999999</v>
      </c>
      <c r="K11" s="11">
        <f t="shared" si="0"/>
        <v>32.025</v>
      </c>
      <c r="L11" s="11">
        <f t="shared" si="0"/>
        <v>699.75</v>
      </c>
      <c r="M11" s="11">
        <f t="shared" si="0"/>
        <v>5598</v>
      </c>
      <c r="N11" s="11">
        <f t="shared" si="0"/>
        <v>1351.05</v>
      </c>
      <c r="O11" s="11">
        <f t="shared" si="0"/>
        <v>1895.8</v>
      </c>
      <c r="P11" s="11">
        <f t="shared" si="0"/>
        <v>0.2</v>
      </c>
      <c r="Q11" s="11">
        <f t="shared" si="0"/>
        <v>3626.5</v>
      </c>
      <c r="R11" s="11">
        <f t="shared" si="0"/>
        <v>4682.3</v>
      </c>
      <c r="S11" s="11">
        <f t="shared" si="0"/>
        <v>48.05</v>
      </c>
      <c r="T11" s="11">
        <f t="shared" si="0"/>
        <v>34.410000000000004</v>
      </c>
      <c r="U11" s="11">
        <f t="shared" si="0"/>
        <v>5.6525</v>
      </c>
      <c r="V11" s="16">
        <f t="shared" si="0"/>
        <v>833.25</v>
      </c>
    </row>
    <row r="12" spans="1:22" ht="28.5">
      <c r="A12" s="17" t="s">
        <v>32</v>
      </c>
      <c r="B12" s="11">
        <v>100</v>
      </c>
      <c r="C12" s="11">
        <f aca="true" t="shared" si="1" ref="C12:V12">100*C11/$B$11</f>
        <v>398.3215560627341</v>
      </c>
      <c r="D12" s="11">
        <f t="shared" si="1"/>
        <v>22.926176264044948</v>
      </c>
      <c r="E12" s="11">
        <f t="shared" si="1"/>
        <v>46.06887874531835</v>
      </c>
      <c r="F12" s="11">
        <f t="shared" si="1"/>
        <v>7.914545294943821</v>
      </c>
      <c r="G12" s="11">
        <f t="shared" si="1"/>
        <v>20.951106039325847</v>
      </c>
      <c r="H12" s="11">
        <f t="shared" si="1"/>
        <v>4.038835732677903</v>
      </c>
      <c r="I12" s="11">
        <f t="shared" si="1"/>
        <v>0</v>
      </c>
      <c r="J12" s="11">
        <f t="shared" si="1"/>
        <v>44.89755237593633</v>
      </c>
      <c r="K12" s="11">
        <f t="shared" si="1"/>
        <v>1.1713263693820224</v>
      </c>
      <c r="L12" s="11">
        <f t="shared" si="1"/>
        <v>25.593618328651687</v>
      </c>
      <c r="M12" s="11">
        <f t="shared" si="1"/>
        <v>204.7489466292135</v>
      </c>
      <c r="N12" s="11">
        <f t="shared" si="1"/>
        <v>49.415159761235955</v>
      </c>
      <c r="O12" s="11">
        <f t="shared" si="1"/>
        <v>69.33959503745318</v>
      </c>
      <c r="P12" s="11">
        <f t="shared" si="1"/>
        <v>0.007315074906367042</v>
      </c>
      <c r="Q12" s="11">
        <f t="shared" si="1"/>
        <v>132.6405957397004</v>
      </c>
      <c r="R12" s="11">
        <f t="shared" si="1"/>
        <v>171.256876170412</v>
      </c>
      <c r="S12" s="11">
        <f t="shared" si="1"/>
        <v>1.7574467462546817</v>
      </c>
      <c r="T12" s="11">
        <f t="shared" si="1"/>
        <v>1.2585586376404496</v>
      </c>
      <c r="U12" s="11">
        <f t="shared" si="1"/>
        <v>0.20674230454119852</v>
      </c>
      <c r="V12" s="16">
        <f t="shared" si="1"/>
        <v>30.476430828651687</v>
      </c>
    </row>
    <row r="13" spans="1:22" ht="14.25">
      <c r="A13" s="15" t="s">
        <v>37</v>
      </c>
      <c r="B13" s="11">
        <v>1440</v>
      </c>
      <c r="C13" s="11"/>
      <c r="D13" s="11">
        <v>1440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6"/>
    </row>
    <row r="14" spans="1:22" ht="14.25">
      <c r="A14" s="15" t="s">
        <v>36</v>
      </c>
      <c r="B14" s="11">
        <v>800</v>
      </c>
      <c r="C14" s="11">
        <f>8*'[2]ΣΥΣΤΑΣΗ ΤΡΟΦΙΜΩΝ'!B27</f>
        <v>3360</v>
      </c>
      <c r="D14" s="11" t="str">
        <f>'[2]ΣΥΣΤΑΣΗ ΤΡΟΦΙΜΩΝ'!C27</f>
        <v>tr</v>
      </c>
      <c r="E14" s="11">
        <f>8*'[2]ΣΥΣΤΑΣΗ ΤΡΟΦΙΜΩΝ'!D27</f>
        <v>840</v>
      </c>
      <c r="F14" s="11" t="str">
        <f>'[2]ΣΥΣΤΑΣΗ ΤΡΟΦΙΜΩΝ'!E27</f>
        <v>tr</v>
      </c>
      <c r="G14" s="11">
        <f>8*'[2]ΣΥΣΤΑΣΗ ΤΡΟΦΙΜΩΝ'!F27</f>
        <v>0</v>
      </c>
      <c r="H14" s="11">
        <f>8*'[2]ΣΥΣΤΑΣΗ ΤΡΟΦΙΜΩΝ'!G27</f>
        <v>0</v>
      </c>
      <c r="I14" s="11">
        <f>8*'[2]ΣΥΣΤΑΣΗ ΤΡΟΦΙΜΩΝ'!H27</f>
        <v>0</v>
      </c>
      <c r="J14" s="11">
        <f>8*'[2]ΣΥΣΤΑΣΗ ΤΡΟΦΙΜΩΝ'!I27</f>
        <v>0</v>
      </c>
      <c r="K14" s="11">
        <f>8*'[2]ΣΥΣΤΑΣΗ ΤΡΟΦΙΜΩΝ'!J27</f>
        <v>840</v>
      </c>
      <c r="L14" s="11">
        <f>8*'[2]ΣΥΣΤΑΣΗ ΤΡΟΦΙΜΩΝ'!K27</f>
        <v>16</v>
      </c>
      <c r="M14" s="11" t="str">
        <f>'[2]ΣΥΣΤΑΣΗ ΤΡΟΦΙΜΩΝ'!L27</f>
        <v>tr</v>
      </c>
      <c r="N14" s="11" t="str">
        <f>'[2]ΣΥΣΤΑΣΗ ΤΡΟΦΙΜΩΝ'!M27</f>
        <v>tr</v>
      </c>
      <c r="O14" s="11">
        <f>8*'[2]ΣΥΣΤΑΣΗ ΤΡΟΦΙΜΩΝ'!N27</f>
        <v>0</v>
      </c>
      <c r="P14" s="11">
        <f>8*'[2]ΣΥΣΤΑΣΗ ΤΡΟΦΙΜΩΝ'!O27</f>
        <v>0</v>
      </c>
      <c r="Q14" s="11" t="str">
        <f>'[2]ΣΥΣΤΑΣΗ ΤΡΟΦΙΜΩΝ'!P27</f>
        <v>tr</v>
      </c>
      <c r="R14" s="11">
        <f>8*'[2]ΣΥΣΤΑΣΗ ΤΡΟΦΙΜΩΝ'!Q27</f>
        <v>16</v>
      </c>
      <c r="S14" s="11" t="str">
        <f>'[2]ΣΥΣΤΑΣΗ ΤΡΟΦΙΜΩΝ'!R27</f>
        <v>tr</v>
      </c>
      <c r="T14" s="11">
        <f>8*'[2]ΣΥΣΤΑΣΗ ΤΡΟΦΙΜΩΝ'!S27</f>
        <v>1.6</v>
      </c>
      <c r="U14" s="11">
        <f>8*'[2]ΣΥΣΤΑΣΗ ΤΡΟΦΙΜΩΝ'!T27</f>
        <v>0.16</v>
      </c>
      <c r="V14" s="16" t="str">
        <f>'[2]ΣΥΣΤΑΣΗ ΤΡΟΦΙΜΩΝ'!U27</f>
        <v>tr</v>
      </c>
    </row>
    <row r="15" spans="1:22" ht="14.25">
      <c r="A15" s="15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6"/>
    </row>
    <row r="16" spans="1:22" ht="14.25">
      <c r="A16" s="15" t="s">
        <v>34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6"/>
    </row>
    <row r="17" spans="1:22" ht="14.25">
      <c r="A17" s="15" t="s">
        <v>33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6"/>
    </row>
    <row r="18" spans="1:22" ht="14.25">
      <c r="A18" s="17" t="s">
        <v>2</v>
      </c>
      <c r="B18" s="11">
        <f aca="true" t="shared" si="2" ref="B18:V18">SUM(B13:B17)</f>
        <v>2240</v>
      </c>
      <c r="C18" s="11">
        <f t="shared" si="2"/>
        <v>3360</v>
      </c>
      <c r="D18" s="11">
        <f t="shared" si="2"/>
        <v>1440</v>
      </c>
      <c r="E18" s="11">
        <f t="shared" si="2"/>
        <v>840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840</v>
      </c>
      <c r="L18" s="11">
        <f t="shared" si="2"/>
        <v>16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16</v>
      </c>
      <c r="S18" s="11">
        <f t="shared" si="2"/>
        <v>0</v>
      </c>
      <c r="T18" s="11">
        <f t="shared" si="2"/>
        <v>1.6</v>
      </c>
      <c r="U18" s="11">
        <f t="shared" si="2"/>
        <v>0.16</v>
      </c>
      <c r="V18" s="16">
        <f t="shared" si="2"/>
        <v>0</v>
      </c>
    </row>
    <row r="19" spans="1:22" ht="28.5">
      <c r="A19" s="17" t="s">
        <v>48</v>
      </c>
      <c r="B19" s="11">
        <v>100</v>
      </c>
      <c r="C19" s="11">
        <f aca="true" t="shared" si="3" ref="C19:V19">100*C18/2240</f>
        <v>150</v>
      </c>
      <c r="D19" s="11">
        <f t="shared" si="3"/>
        <v>64.28571428571429</v>
      </c>
      <c r="E19" s="11">
        <f t="shared" si="3"/>
        <v>37.5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37.5</v>
      </c>
      <c r="L19" s="11">
        <f t="shared" si="3"/>
        <v>0.7142857142857143</v>
      </c>
      <c r="M19" s="11">
        <f t="shared" si="3"/>
        <v>0</v>
      </c>
      <c r="N19" s="11">
        <f t="shared" si="3"/>
        <v>0</v>
      </c>
      <c r="O19" s="11">
        <f t="shared" si="3"/>
        <v>0</v>
      </c>
      <c r="P19" s="11">
        <f t="shared" si="3"/>
        <v>0</v>
      </c>
      <c r="Q19" s="11">
        <f t="shared" si="3"/>
        <v>0</v>
      </c>
      <c r="R19" s="11">
        <f t="shared" si="3"/>
        <v>0.7142857142857143</v>
      </c>
      <c r="S19" s="11">
        <f t="shared" si="3"/>
        <v>0</v>
      </c>
      <c r="T19" s="11">
        <f t="shared" si="3"/>
        <v>0.07142857142857142</v>
      </c>
      <c r="U19" s="11">
        <f t="shared" si="3"/>
        <v>0.007142857142857143</v>
      </c>
      <c r="V19" s="16">
        <f t="shared" si="3"/>
        <v>0</v>
      </c>
    </row>
    <row r="20" spans="1:22" ht="28.5">
      <c r="A20" s="15" t="s">
        <v>49</v>
      </c>
      <c r="B20" s="11">
        <f aca="true" t="shared" si="4" ref="B20:V20">B11+B18</f>
        <v>4974.08</v>
      </c>
      <c r="C20" s="11">
        <f t="shared" si="4"/>
        <v>14250.43</v>
      </c>
      <c r="D20" s="11">
        <f t="shared" si="4"/>
        <v>2066.82</v>
      </c>
      <c r="E20" s="11">
        <f t="shared" si="4"/>
        <v>2099.56</v>
      </c>
      <c r="F20" s="11">
        <f t="shared" si="4"/>
        <v>216.39</v>
      </c>
      <c r="G20" s="11">
        <f t="shared" si="4"/>
        <v>572.82</v>
      </c>
      <c r="H20" s="11">
        <f t="shared" si="4"/>
        <v>110.425</v>
      </c>
      <c r="I20" s="11">
        <f t="shared" si="4"/>
        <v>0</v>
      </c>
      <c r="J20" s="11">
        <f t="shared" si="4"/>
        <v>1227.5349999999999</v>
      </c>
      <c r="K20" s="11">
        <f t="shared" si="4"/>
        <v>872.025</v>
      </c>
      <c r="L20" s="11">
        <f t="shared" si="4"/>
        <v>715.75</v>
      </c>
      <c r="M20" s="11">
        <f t="shared" si="4"/>
        <v>5598</v>
      </c>
      <c r="N20" s="11">
        <f t="shared" si="4"/>
        <v>1351.05</v>
      </c>
      <c r="O20" s="11">
        <f t="shared" si="4"/>
        <v>1895.8</v>
      </c>
      <c r="P20" s="11">
        <f t="shared" si="4"/>
        <v>0.2</v>
      </c>
      <c r="Q20" s="11">
        <f t="shared" si="4"/>
        <v>3626.5</v>
      </c>
      <c r="R20" s="11">
        <f t="shared" si="4"/>
        <v>4698.3</v>
      </c>
      <c r="S20" s="11">
        <f t="shared" si="4"/>
        <v>48.05</v>
      </c>
      <c r="T20" s="11">
        <f t="shared" si="4"/>
        <v>36.010000000000005</v>
      </c>
      <c r="U20" s="11">
        <f t="shared" si="4"/>
        <v>5.8125</v>
      </c>
      <c r="V20" s="16">
        <f t="shared" si="4"/>
        <v>833.25</v>
      </c>
    </row>
    <row r="21" spans="1:47" ht="28.5">
      <c r="A21" s="18" t="s">
        <v>32</v>
      </c>
      <c r="B21" s="19">
        <v>100</v>
      </c>
      <c r="C21" s="19">
        <f aca="true" t="shared" si="5" ref="C21:V21">100*C20/$B$20</f>
        <v>286.4937837750901</v>
      </c>
      <c r="D21" s="19">
        <f t="shared" si="5"/>
        <v>41.55180455481215</v>
      </c>
      <c r="E21" s="19">
        <f t="shared" si="5"/>
        <v>42.210016726711274</v>
      </c>
      <c r="F21" s="19">
        <f t="shared" si="5"/>
        <v>4.350352225939269</v>
      </c>
      <c r="G21" s="19">
        <f t="shared" si="5"/>
        <v>11.51609945959856</v>
      </c>
      <c r="H21" s="19">
        <f t="shared" si="5"/>
        <v>2.220008524189398</v>
      </c>
      <c r="I21" s="19">
        <f t="shared" si="5"/>
        <v>0</v>
      </c>
      <c r="J21" s="19">
        <f t="shared" si="5"/>
        <v>24.678634038857435</v>
      </c>
      <c r="K21" s="19">
        <f t="shared" si="5"/>
        <v>17.531382687853835</v>
      </c>
      <c r="L21" s="19">
        <f t="shared" si="5"/>
        <v>14.38959566392177</v>
      </c>
      <c r="M21" s="19">
        <f t="shared" si="5"/>
        <v>112.5434251158003</v>
      </c>
      <c r="N21" s="19">
        <f t="shared" si="5"/>
        <v>27.16180680648482</v>
      </c>
      <c r="O21" s="19">
        <f t="shared" si="5"/>
        <v>38.11358080288214</v>
      </c>
      <c r="P21" s="19">
        <f t="shared" si="5"/>
        <v>0.004020844055584148</v>
      </c>
      <c r="Q21" s="19">
        <f t="shared" si="5"/>
        <v>72.90795483787957</v>
      </c>
      <c r="R21" s="19">
        <f t="shared" si="5"/>
        <v>94.45565813175502</v>
      </c>
      <c r="S21" s="19">
        <f t="shared" si="5"/>
        <v>0.9660077843540916</v>
      </c>
      <c r="T21" s="19">
        <f t="shared" si="5"/>
        <v>0.723952972207926</v>
      </c>
      <c r="U21" s="19">
        <f t="shared" si="5"/>
        <v>0.11685578036541432</v>
      </c>
      <c r="V21" s="20">
        <f t="shared" si="5"/>
        <v>16.75184154657746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4" spans="1:22" ht="45">
      <c r="A24" s="4"/>
      <c r="B24" s="5" t="s">
        <v>82</v>
      </c>
      <c r="C24" s="6" t="s">
        <v>83</v>
      </c>
      <c r="D24" s="6" t="s">
        <v>84</v>
      </c>
      <c r="E24" s="6" t="s">
        <v>18</v>
      </c>
      <c r="F24" s="6" t="s">
        <v>85</v>
      </c>
      <c r="G24" s="6" t="s">
        <v>86</v>
      </c>
      <c r="H24" s="6" t="s">
        <v>87</v>
      </c>
      <c r="I24" s="6" t="s">
        <v>88</v>
      </c>
      <c r="J24" s="6" t="s">
        <v>89</v>
      </c>
      <c r="K24" s="6" t="s">
        <v>90</v>
      </c>
      <c r="L24" s="6" t="s">
        <v>91</v>
      </c>
      <c r="M24" s="6" t="s">
        <v>92</v>
      </c>
      <c r="N24" s="6" t="s">
        <v>17</v>
      </c>
      <c r="O24" s="6" t="s">
        <v>16</v>
      </c>
      <c r="P24" s="6" t="s">
        <v>15</v>
      </c>
      <c r="Q24" s="6" t="s">
        <v>14</v>
      </c>
      <c r="R24" s="6" t="s">
        <v>13</v>
      </c>
      <c r="S24" s="6" t="s">
        <v>93</v>
      </c>
      <c r="T24" s="6" t="s">
        <v>94</v>
      </c>
      <c r="U24" s="7" t="s">
        <v>95</v>
      </c>
      <c r="V24" s="8"/>
    </row>
    <row r="25" spans="1:21" ht="14.25">
      <c r="A25" s="12" t="s">
        <v>42</v>
      </c>
      <c r="B25" s="13">
        <f>8.75*'[2]ΣΥΣΤΑΣΗ ΤΡΟΦΙΜΩΝ'!V7</f>
        <v>0</v>
      </c>
      <c r="C25" s="13">
        <f>8.75*'[2]ΣΥΣΤΑΣΗ ΤΡΟΦΙΜΩΝ'!W7*0.75</f>
        <v>9.1875</v>
      </c>
      <c r="D25" s="13">
        <f>8.75*'[2]ΣΥΣΤΑΣΗ ΤΡΟΦΙΜΩΝ'!X7*0.9</f>
        <v>0.70875</v>
      </c>
      <c r="E25" s="13">
        <f>8.75*'[2]ΣΥΣΤΑΣΗ ΤΡΟΦΙΜΩΝ'!Y7</f>
        <v>0</v>
      </c>
      <c r="F25" s="13">
        <f>8.75*'[2]ΣΥΣΤΑΣΗ ΤΡΟΦΙΜΩΝ'!Z7*0.9</f>
        <v>5.5125</v>
      </c>
      <c r="G25" s="13">
        <f>8.75*'[2]ΣΥΣΤΑΣΗ ΤΡΟΦΙΜΩΝ'!AA7*0.9</f>
        <v>3.9375</v>
      </c>
      <c r="H25" s="13">
        <f>8.75*'[2]ΣΥΣΤΑΣΗ ΤΡΟΦΙΜΩΝ'!AB7</f>
        <v>0</v>
      </c>
      <c r="I25" s="13">
        <f>8.75*'[2]ΣΥΣΤΑΣΗ ΤΡΟΦΙΜΩΝ'!AC7*0.65</f>
        <v>324.1875</v>
      </c>
      <c r="J25" s="13">
        <f>8.75*'[2]ΣΥΣΤΑΣΗ ΤΡΟΦΙΜΩΝ'!AD7</f>
        <v>0</v>
      </c>
      <c r="K25" s="13">
        <f>8.75*'[2]ΣΥΣΤΑΣΗ ΤΡΟΦΙΜΩΝ'!AE7</f>
        <v>0</v>
      </c>
      <c r="L25" s="13">
        <f>8.75*'[2]ΣΥΣΤΑΣΗ ΤΡΟΦΙΜΩΝ'!AF7</f>
        <v>0</v>
      </c>
      <c r="M25" s="13">
        <f>8.75*'[2]ΣΥΣΤΑΣΗ ΤΡΟΦΙΜΩΝ'!AG7</f>
        <v>12.25</v>
      </c>
      <c r="N25" s="13">
        <f>'[2]ΣΥΣΤΑΣΗ ΤΡΟΦΙΜΩΝ'!AH7</f>
        <v>6.387096774193548</v>
      </c>
      <c r="O25" s="13">
        <f>'[2]ΣΥΣΤΑΣΗ ΤΡΟΦΙΜΩΝ'!AI7</f>
        <v>16.387096774193548</v>
      </c>
      <c r="P25" s="13">
        <f>'[2]ΣΥΣΤΑΣΗ ΤΡΟΦΙΜΩΝ'!AJ7</f>
        <v>82.45161290322581</v>
      </c>
      <c r="Q25" s="13">
        <f>'[2]ΣΥΣΤΑΣΗ ΤΡΟΦΙΜΩΝ'!AK7</f>
        <v>0.8709677419354839</v>
      </c>
      <c r="R25" s="13">
        <f>'[2]ΣΥΣΤΑΣΗ ΤΡΟΦΙΜΩΝ'!AL7</f>
        <v>2.7096774193548385</v>
      </c>
      <c r="S25" s="13">
        <f>8.75*'[2]ΣΥΣΤΑΣΗ ΤΡΟΦΙΜΩΝ'!AM7</f>
        <v>2.625</v>
      </c>
      <c r="T25" s="13">
        <f>8.75*'[2]ΣΥΣΤΑΣΗ ΤΡΟΦΙΜΩΝ'!AN7</f>
        <v>2.625</v>
      </c>
      <c r="U25" s="14">
        <f>8.75*'[2]ΣΥΣΤΑΣΗ ΤΡΟΦΙΜΩΝ'!AO7</f>
        <v>8.75</v>
      </c>
    </row>
    <row r="26" spans="1:21" ht="14.25">
      <c r="A26" s="15" t="s">
        <v>62</v>
      </c>
      <c r="B26" s="11">
        <f>8.75*'[2]ΣΥΣΤΑΣΗ ΤΡΟΦΙΜΩΝ'!V6</f>
        <v>0</v>
      </c>
      <c r="C26" s="11">
        <f>8.75*'[2]ΣΥΣΤΑΣΗ ΤΡΟΦΙΜΩΝ'!W6*0.75</f>
        <v>0.65625</v>
      </c>
      <c r="D26" s="11">
        <f>8.75*'[2]ΣΥΣΤΑΣΗ ΤΡΟΦΙΜΩΝ'!X6*0.9</f>
        <v>0.23625000000000002</v>
      </c>
      <c r="E26" s="11">
        <f>8.75*'[2]ΣΥΣΤΑΣΗ ΤΡΟΦΙΜΩΝ'!Y6</f>
        <v>0</v>
      </c>
      <c r="F26" s="11">
        <f>8.75*'[2]ΣΥΣΤΑΣΗ ΤΡΟΦΙΜΩΝ'!Z6*0.9</f>
        <v>5.5125</v>
      </c>
      <c r="G26" s="11">
        <f>8.75*'[2]ΣΥΣΤΑΣΗ ΤΡΟΦΙΜΩΝ'!AA6*0.9</f>
        <v>1.1812500000000001</v>
      </c>
      <c r="H26" s="11">
        <f>8.75*'[2]ΣΥΣΤΑΣΗ ΤΡΟΦΙΜΩΝ'!AB6</f>
        <v>0</v>
      </c>
      <c r="I26" s="11">
        <f>8.75*'[2]ΣΥΣΤΑΣΗ ΤΡΟΦΙΜΩΝ'!AC6*0.65</f>
        <v>176.3125</v>
      </c>
      <c r="J26" s="11">
        <f>8.75*'[2]ΣΥΣΤΑΣΗ ΤΡΟΦΙΜΩΝ'!AD6</f>
        <v>0</v>
      </c>
      <c r="K26" s="11">
        <f>8.75*'[2]ΣΥΣΤΑΣΗ ΤΡΟΦΙΜΩΝ'!AE6</f>
        <v>0</v>
      </c>
      <c r="L26" s="11">
        <f>8.75*'[2]ΣΥΣΤΑΣΗ ΤΡΟΦΙΜΩΝ'!AF6</f>
        <v>0</v>
      </c>
      <c r="M26" s="11">
        <f>8.75*'[2]ΣΥΣΤΑΣΗ ΤΡΟΦΙΜΩΝ'!AG6</f>
        <v>2.625</v>
      </c>
      <c r="N26" s="11">
        <f>'[2]ΣΥΣΤΑΣΗ ΤΡΟΦΙΜΩΝ'!AH6</f>
        <v>3.501945525291829</v>
      </c>
      <c r="O26" s="11">
        <f>'[2]ΣΥΣΤΑΣΗ ΤΡΟΦΙΜΩΝ'!AI6</f>
        <v>12.784880489160644</v>
      </c>
      <c r="P26" s="11">
        <f>'[2]ΣΥΣΤΑΣΗ ΤΡΟΦΙΜΩΝ'!AJ6</f>
        <v>83.71317398554753</v>
      </c>
      <c r="Q26" s="11">
        <f>'[2]ΣΥΣΤΑΣΗ ΤΡΟΦΙΜΩΝ'!AK6</f>
        <v>0.500277932184547</v>
      </c>
      <c r="R26" s="11">
        <f>'[2]ΣΥΣΤΑΣΗ ΤΡΟΦΙΜΩΝ'!AL6</f>
        <v>1.556420233463035</v>
      </c>
      <c r="S26" s="11">
        <f>8.75*'[2]ΣΥΣΤΑΣΗ ΤΡΟΦΙΜΩΝ'!AM6</f>
        <v>1.75</v>
      </c>
      <c r="T26" s="11">
        <f>8.75*'[2]ΣΥΣΤΑΣΗ ΤΡΟΦΙΜΩΝ'!AN6</f>
        <v>0.875</v>
      </c>
      <c r="U26" s="16">
        <f>8.75*'[2]ΣΥΣΤΑΣΗ ΤΡΟΦΙΜΩΝ'!AO6</f>
        <v>5.25</v>
      </c>
    </row>
    <row r="27" spans="1:21" ht="14.25">
      <c r="A27" s="15" t="s">
        <v>41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6"/>
    </row>
    <row r="28" spans="1:21" ht="14.25">
      <c r="A28" s="15" t="s">
        <v>40</v>
      </c>
      <c r="B28" s="11" t="str">
        <f>'[2]ΣΥΣΤΑΣΗ ΤΡΟΦΙΜΩΝ'!V111</f>
        <v>tr</v>
      </c>
      <c r="C28" s="11" t="str">
        <f>'[2]ΣΥΣΤΑΣΗ ΤΡΟΦΙΜΩΝ'!W111</f>
        <v>tr</v>
      </c>
      <c r="D28" s="11" t="str">
        <f>'[2]ΣΥΣΤΑΣΗ ΤΡΟΦΙΜΩΝ'!X111</f>
        <v>tr</v>
      </c>
      <c r="E28" s="11">
        <f>0.2*'[2]ΣΥΣΤΑΣΗ ΤΡΟΦΙΜΩΝ'!Y111</f>
        <v>0</v>
      </c>
      <c r="F28" s="11" t="str">
        <f>'[2]ΣΥΣΤΑΣΗ ΤΡΟΦΙΜΩΝ'!Z111</f>
        <v>tr</v>
      </c>
      <c r="G28" s="11" t="str">
        <f>'[2]ΣΥΣΤΑΣΗ ΤΡΟΦΙΜΩΝ'!AA111</f>
        <v>tr</v>
      </c>
      <c r="H28" s="11">
        <f>0.2*'[2]ΣΥΣΤΑΣΗ ΤΡΟΦΙΜΩΝ'!AB111</f>
        <v>0</v>
      </c>
      <c r="I28" s="11" t="str">
        <f>'[2]ΣΥΣΤΑΣΗ ΤΡΟΦΙΜΩΝ'!AC111</f>
        <v>tr</v>
      </c>
      <c r="J28" s="11">
        <f>0.2*'[2]ΣΥΣΤΑΣΗ ΤΡΟΦΙΜΩΝ'!AD111</f>
        <v>0</v>
      </c>
      <c r="K28" s="11">
        <f>0.2*'[2]ΣΥΣΤΑΣΗ ΤΡΟΦΙΜΩΝ'!AE111</f>
        <v>0</v>
      </c>
      <c r="L28" s="11">
        <f>0.2*'[2]ΣΥΣΤΑΣΗ ΤΡΟΦΙΜΩΝ'!AF111</f>
        <v>0</v>
      </c>
      <c r="M28" s="11" t="str">
        <f>'[2]ΣΥΣΤΑΣΗ ΤΡΟΦΙΜΩΝ'!AG111</f>
        <v>tr</v>
      </c>
      <c r="N28" s="11">
        <f>'[2]ΣΥΣΤΑΣΗ ΤΡΟΦΙΜΩΝ'!AH111</f>
        <v>0</v>
      </c>
      <c r="O28" s="11">
        <f>'[2]ΣΥΣΤΑΣΗ ΤΡΟΦΙΜΩΝ'!AI111</f>
        <v>12.093023255813954</v>
      </c>
      <c r="P28" s="11">
        <f>'[2]ΣΥΣΤΑΣΗ ΤΡΟΦΙΜΩΝ'!AJ111</f>
        <v>87.90697674418604</v>
      </c>
      <c r="Q28" s="11">
        <f>'[2]ΣΥΣΤΑΣΗ ΤΡΟΦΙΜΩΝ'!AK111</f>
        <v>0</v>
      </c>
      <c r="R28" s="11">
        <f>'[2]ΣΥΣΤΑΣΗ ΤΡΟΦΙΜΩΝ'!AL111</f>
        <v>0</v>
      </c>
      <c r="S28" s="11">
        <f>0.2*'[2]ΣΥΣΤΑΣΗ ΤΡΟΦΙΜΩΝ'!AM111</f>
        <v>0</v>
      </c>
      <c r="T28" s="11">
        <f>0.2*'[2]ΣΥΣΤΑΣΗ ΤΡΟΦΙΜΩΝ'!AN111</f>
        <v>0</v>
      </c>
      <c r="U28" s="16">
        <f>0.2*'[2]ΣΥΣΤΑΣΗ ΤΡΟΦΙΜΩΝ'!AO111</f>
        <v>0</v>
      </c>
    </row>
    <row r="29" spans="1:21" ht="28.5">
      <c r="A29" s="15" t="s">
        <v>39</v>
      </c>
      <c r="B29" s="11">
        <f>2*'[2]ΣΥΣΤΑΣΗ ΤΡΟΦΙΜΩΝ'!V65</f>
        <v>6</v>
      </c>
      <c r="C29" s="11">
        <f>2*'[2]ΣΥΣΤΑΣΗ ΤΡΟΦΙΜΩΝ'!W65</f>
        <v>0.36</v>
      </c>
      <c r="D29" s="11">
        <f>2*'[2]ΣΥΣΤΑΣΗ ΤΡΟΦΙΜΩΝ'!X65</f>
        <v>0.02</v>
      </c>
      <c r="E29" s="11" t="str">
        <f>'[2]ΣΥΣΤΑΣΗ ΤΡΟΦΙΜΩΝ'!Y65</f>
        <v>tr</v>
      </c>
      <c r="F29" s="11">
        <f>2*'[2]ΣΥΣΤΑΣΗ ΤΡΟΦΙΜΩΝ'!Z65</f>
        <v>1</v>
      </c>
      <c r="G29" s="11">
        <f>2*'[2]ΣΥΣΤΑΣΗ ΤΡΟΦΙΜΩΝ'!AA65</f>
        <v>0.66</v>
      </c>
      <c r="H29" s="11">
        <f>2*'[2]ΣΥΣΤΑΣΗ ΤΡΟΦΙΜΩΝ'!AB65</f>
        <v>0</v>
      </c>
      <c r="I29" s="11">
        <f>2*'[2]ΣΥΣΤΑΣΗ ΤΡΟΦΙΜΩΝ'!AC65</f>
        <v>52</v>
      </c>
      <c r="J29" s="11">
        <f>2*'[2]ΣΥΣΤΑΣΗ ΤΡΟΦΙΜΩΝ'!AD65</f>
        <v>12</v>
      </c>
      <c r="K29" s="11">
        <f>2*'[2]ΣΥΣΤΑΣΗ ΤΡΟΦΙΜΩΝ'!AE65</f>
        <v>0</v>
      </c>
      <c r="L29" s="11">
        <f>2*'[2]ΣΥΣΤΑΣΗ ΤΡΟΦΙΜΩΝ'!AF65</f>
        <v>0</v>
      </c>
      <c r="M29" s="11">
        <f>2*'[2]ΣΥΣΤΑΣΗ ΤΡΟΦΙΜΩΝ'!AG65</f>
        <v>0.12</v>
      </c>
      <c r="N29" s="11">
        <f>'[2]ΣΥΣΤΑΣΗ ΤΡΟΦΙΜΩΝ'!AH65</f>
        <v>1.1826544021024967</v>
      </c>
      <c r="O29" s="11">
        <f>'[2]ΣΥΣΤΑΣΗ ΤΡΟΦΙΜΩΝ'!AI65</f>
        <v>9.461235216819974</v>
      </c>
      <c r="P29" s="11">
        <f>'[2]ΣΥΣΤΑΣΗ ΤΡΟΦΙΜΩΝ'!AJ65</f>
        <v>89.35611038107754</v>
      </c>
      <c r="Q29" s="11">
        <f>'[2]ΣΥΣΤΑΣΗ ΤΡΟΦΙΜΩΝ'!AK65</f>
        <v>0</v>
      </c>
      <c r="R29" s="11">
        <f>'[2]ΣΥΣΤΑΣΗ ΤΡΟΦΙΜΩΝ'!AL65</f>
        <v>3.6793692509855456</v>
      </c>
      <c r="S29" s="11" t="str">
        <f>'[2]ΣΥΣΤΑΣΗ ΤΡΟΦΙΜΩΝ'!AM65</f>
        <v>tr</v>
      </c>
      <c r="T29" s="11" t="str">
        <f>'[2]ΣΥΣΤΑΣΗ ΤΡΟΦΙΜΩΝ'!AN65</f>
        <v>tr</v>
      </c>
      <c r="U29" s="16">
        <f>2*'[2]ΣΥΣΤΑΣΗ ΤΡΟΦΙΜΩΝ'!AO65</f>
        <v>0.2</v>
      </c>
    </row>
    <row r="30" spans="1:21" ht="14.25">
      <c r="A30" s="15" t="s">
        <v>38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6"/>
    </row>
    <row r="31" spans="1:21" ht="14.25">
      <c r="A31" s="17" t="s">
        <v>2</v>
      </c>
      <c r="B31" s="11">
        <f aca="true" t="shared" si="6" ref="B31:M31">SUM(B25:B30)</f>
        <v>6</v>
      </c>
      <c r="C31" s="11">
        <f t="shared" si="6"/>
        <v>10.20375</v>
      </c>
      <c r="D31" s="11">
        <f t="shared" si="6"/>
        <v>0.9650000000000001</v>
      </c>
      <c r="E31" s="11">
        <f t="shared" si="6"/>
        <v>0</v>
      </c>
      <c r="F31" s="11">
        <f t="shared" si="6"/>
        <v>12.025</v>
      </c>
      <c r="G31" s="11">
        <f t="shared" si="6"/>
        <v>5.7787500000000005</v>
      </c>
      <c r="H31" s="11">
        <f t="shared" si="6"/>
        <v>0</v>
      </c>
      <c r="I31" s="11">
        <f t="shared" si="6"/>
        <v>552.5</v>
      </c>
      <c r="J31" s="11">
        <f t="shared" si="6"/>
        <v>12</v>
      </c>
      <c r="K31" s="11">
        <f t="shared" si="6"/>
        <v>0</v>
      </c>
      <c r="L31" s="11">
        <f t="shared" si="6"/>
        <v>0</v>
      </c>
      <c r="M31" s="11">
        <f t="shared" si="6"/>
        <v>14.995</v>
      </c>
      <c r="N31" s="10">
        <f>9*G11*100/C11</f>
        <v>47.3386266657974</v>
      </c>
      <c r="O31" s="10">
        <f>4*F11*100/C11</f>
        <v>7.947895537641764</v>
      </c>
      <c r="P31" s="10">
        <f>4*E11*100/C11</f>
        <v>46.2630033892142</v>
      </c>
      <c r="Q31" s="11">
        <f>9*S31*100/C11</f>
        <v>0.3615559716191188</v>
      </c>
      <c r="R31" s="11">
        <f>4*K11*100/C11</f>
        <v>1.1762620943341997</v>
      </c>
      <c r="S31" s="11">
        <f>SUM(S25:S30)</f>
        <v>4.375</v>
      </c>
      <c r="T31" s="11">
        <f>SUM(T25:T30)</f>
        <v>3.5</v>
      </c>
      <c r="U31" s="16">
        <f>SUM(U25:U30)</f>
        <v>14.2</v>
      </c>
    </row>
    <row r="32" spans="1:21" ht="28.5">
      <c r="A32" s="17" t="s">
        <v>32</v>
      </c>
      <c r="B32" s="11">
        <f aca="true" t="shared" si="7" ref="B32:M32">100*B31/$B$11</f>
        <v>0.21945224719101125</v>
      </c>
      <c r="C32" s="11">
        <f t="shared" si="7"/>
        <v>0.3732059778792135</v>
      </c>
      <c r="D32" s="11">
        <f t="shared" si="7"/>
        <v>0.03529523642322098</v>
      </c>
      <c r="E32" s="11">
        <f t="shared" si="7"/>
        <v>0</v>
      </c>
      <c r="F32" s="11">
        <f t="shared" si="7"/>
        <v>0.4398188787453184</v>
      </c>
      <c r="G32" s="11">
        <f t="shared" si="7"/>
        <v>0.2113599455758427</v>
      </c>
      <c r="H32" s="11">
        <f t="shared" si="7"/>
        <v>0</v>
      </c>
      <c r="I32" s="11">
        <f t="shared" si="7"/>
        <v>20.20789442883895</v>
      </c>
      <c r="J32" s="11">
        <f t="shared" si="7"/>
        <v>0.4389044943820225</v>
      </c>
      <c r="K32" s="11">
        <f t="shared" si="7"/>
        <v>0</v>
      </c>
      <c r="L32" s="11">
        <f t="shared" si="7"/>
        <v>0</v>
      </c>
      <c r="M32" s="11">
        <f t="shared" si="7"/>
        <v>0.5484477411048689</v>
      </c>
      <c r="N32" s="11"/>
      <c r="O32" s="11"/>
      <c r="P32" s="11"/>
      <c r="Q32" s="11"/>
      <c r="R32" s="11"/>
      <c r="S32" s="11">
        <f>100*S31/$B$11</f>
        <v>0.16001726357677903</v>
      </c>
      <c r="T32" s="11">
        <f>100*T31/$B$11</f>
        <v>0.12801381086142322</v>
      </c>
      <c r="U32" s="16">
        <f>100*U31/$B$11</f>
        <v>0.5193703183520599</v>
      </c>
    </row>
    <row r="33" spans="1:21" ht="14.25">
      <c r="A33" s="15" t="s">
        <v>37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6"/>
    </row>
    <row r="34" spans="1:21" ht="14.25">
      <c r="A34" s="15" t="s">
        <v>36</v>
      </c>
      <c r="B34" s="11" t="str">
        <f>'[2]ΣΥΣΤΑΣΗ ΤΡΟΦΙΜΩΝ'!V27</f>
        <v>tr</v>
      </c>
      <c r="C34" s="11">
        <f>8*'[2]ΣΥΣΤΑΣΗ ΤΡΟΦΙΜΩΝ'!W27</f>
        <v>0</v>
      </c>
      <c r="D34" s="11">
        <f>8*'[2]ΣΥΣΤΑΣΗ ΤΡΟΦΙΜΩΝ'!X27</f>
        <v>0</v>
      </c>
      <c r="E34" s="11">
        <f>8*'[2]ΣΥΣΤΑΣΗ ΤΡΟΦΙΜΩΝ'!Y27</f>
        <v>0</v>
      </c>
      <c r="F34" s="11">
        <f>8*'[2]ΣΥΣΤΑΣΗ ΤΡΟΦΙΜΩΝ'!Z27</f>
        <v>0</v>
      </c>
      <c r="G34" s="11">
        <f>8*'[2]ΣΥΣΤΑΣΗ ΤΡΟΦΙΜΩΝ'!AA27</f>
        <v>0</v>
      </c>
      <c r="H34" s="11">
        <f>8*'[2]ΣΥΣΤΑΣΗ ΤΡΟΦΙΜΩΝ'!AB27</f>
        <v>0</v>
      </c>
      <c r="I34" s="11">
        <f>8*'[2]ΣΥΣΤΑΣΗ ΤΡΟΦΙΜΩΝ'!AC27</f>
        <v>0</v>
      </c>
      <c r="J34" s="11">
        <f>8*'[2]ΣΥΣΤΑΣΗ ΤΡΟΦΙΜΩΝ'!AD27</f>
        <v>0</v>
      </c>
      <c r="K34" s="11">
        <f>8*'[2]ΣΥΣΤΑΣΗ ΤΡΟΦΙΜΩΝ'!AE27</f>
        <v>0</v>
      </c>
      <c r="L34" s="11">
        <f>8*'[2]ΣΥΣΤΑΣΗ ΤΡΟΦΙΜΩΝ'!AF27</f>
        <v>0</v>
      </c>
      <c r="M34" s="11">
        <f>8*'[2]ΣΥΣΤΑΣΗ ΤΡΟΦΙΜΩΝ'!AG27</f>
        <v>0</v>
      </c>
      <c r="N34" s="11">
        <f>'[2]ΣΥΣΤΑΣΗ ΤΡΟΦΙΜΩΝ'!AH27</f>
        <v>0</v>
      </c>
      <c r="O34" s="11">
        <v>0</v>
      </c>
      <c r="P34" s="11">
        <f>'[2]ΣΥΣΤΑΣΗ ΤΡΟΦΙΜΩΝ'!AJ27</f>
        <v>100</v>
      </c>
      <c r="Q34" s="11">
        <f>'[2]ΣΥΣΤΑΣΗ ΤΡΟΦΙΜΩΝ'!AK27</f>
        <v>0</v>
      </c>
      <c r="R34" s="11">
        <f>'[2]ΣΥΣΤΑΣΗ ΤΡΟΦΙΜΩΝ'!AL27</f>
        <v>100</v>
      </c>
      <c r="S34" s="11">
        <f>8*'[2]ΣΥΣΤΑΣΗ ΤΡΟΦΙΜΩΝ'!AM27</f>
        <v>0</v>
      </c>
      <c r="T34" s="11">
        <f>8*'[2]ΣΥΣΤΑΣΗ ΤΡΟΦΙΜΩΝ'!AN27</f>
        <v>0</v>
      </c>
      <c r="U34" s="16">
        <f>8*'[2]ΣΥΣΤΑΣΗ ΤΡΟΦΙΜΩΝ'!AO27</f>
        <v>0</v>
      </c>
    </row>
    <row r="35" spans="1:21" ht="14.25">
      <c r="A35" s="15" t="s">
        <v>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6"/>
    </row>
    <row r="36" spans="1:21" ht="14.25">
      <c r="A36" s="15" t="s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6"/>
    </row>
    <row r="37" spans="1:21" ht="14.25">
      <c r="A37" s="15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6"/>
    </row>
    <row r="38" spans="1:21" ht="14.25">
      <c r="A38" s="17" t="s">
        <v>2</v>
      </c>
      <c r="B38" s="11">
        <f aca="true" t="shared" si="8" ref="B38:U38">SUM(B33:B37)</f>
        <v>0</v>
      </c>
      <c r="C38" s="11">
        <f t="shared" si="8"/>
        <v>0</v>
      </c>
      <c r="D38" s="11">
        <f t="shared" si="8"/>
        <v>0</v>
      </c>
      <c r="E38" s="11">
        <f t="shared" si="8"/>
        <v>0</v>
      </c>
      <c r="F38" s="11">
        <f t="shared" si="8"/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  <c r="O38" s="11">
        <f t="shared" si="8"/>
        <v>0</v>
      </c>
      <c r="P38" s="11">
        <f t="shared" si="8"/>
        <v>100</v>
      </c>
      <c r="Q38" s="11">
        <f t="shared" si="8"/>
        <v>0</v>
      </c>
      <c r="R38" s="11">
        <f t="shared" si="8"/>
        <v>100</v>
      </c>
      <c r="S38" s="11">
        <f t="shared" si="8"/>
        <v>0</v>
      </c>
      <c r="T38" s="11">
        <f t="shared" si="8"/>
        <v>0</v>
      </c>
      <c r="U38" s="16">
        <f t="shared" si="8"/>
        <v>0</v>
      </c>
    </row>
    <row r="39" spans="1:21" ht="28.5">
      <c r="A39" s="17" t="s">
        <v>48</v>
      </c>
      <c r="B39" s="11">
        <f aca="true" t="shared" si="9" ref="B39:M39">100*B38/2240</f>
        <v>0</v>
      </c>
      <c r="C39" s="11">
        <f t="shared" si="9"/>
        <v>0</v>
      </c>
      <c r="D39" s="11">
        <f t="shared" si="9"/>
        <v>0</v>
      </c>
      <c r="E39" s="11">
        <f t="shared" si="9"/>
        <v>0</v>
      </c>
      <c r="F39" s="11">
        <f t="shared" si="9"/>
        <v>0</v>
      </c>
      <c r="G39" s="11">
        <f t="shared" si="9"/>
        <v>0</v>
      </c>
      <c r="H39" s="11">
        <f t="shared" si="9"/>
        <v>0</v>
      </c>
      <c r="I39" s="11">
        <f t="shared" si="9"/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/>
      <c r="O39" s="11"/>
      <c r="P39" s="11"/>
      <c r="Q39" s="11"/>
      <c r="R39" s="11"/>
      <c r="S39" s="11">
        <f>100*S38/2240</f>
        <v>0</v>
      </c>
      <c r="T39" s="11">
        <f>100*T38/2240</f>
        <v>0</v>
      </c>
      <c r="U39" s="16">
        <f>100*U38/2240</f>
        <v>0</v>
      </c>
    </row>
    <row r="40" spans="1:21" ht="28.5">
      <c r="A40" s="15" t="s">
        <v>49</v>
      </c>
      <c r="B40" s="11">
        <f aca="true" t="shared" si="10" ref="B40:M40">B31+B38</f>
        <v>6</v>
      </c>
      <c r="C40" s="11">
        <f t="shared" si="10"/>
        <v>10.20375</v>
      </c>
      <c r="D40" s="11">
        <f t="shared" si="10"/>
        <v>0.9650000000000001</v>
      </c>
      <c r="E40" s="11">
        <f t="shared" si="10"/>
        <v>0</v>
      </c>
      <c r="F40" s="11">
        <f t="shared" si="10"/>
        <v>12.025</v>
      </c>
      <c r="G40" s="11">
        <f t="shared" si="10"/>
        <v>5.7787500000000005</v>
      </c>
      <c r="H40" s="11">
        <f t="shared" si="10"/>
        <v>0</v>
      </c>
      <c r="I40" s="11">
        <f t="shared" si="10"/>
        <v>552.5</v>
      </c>
      <c r="J40" s="11">
        <f t="shared" si="10"/>
        <v>12</v>
      </c>
      <c r="K40" s="11">
        <f t="shared" si="10"/>
        <v>0</v>
      </c>
      <c r="L40" s="11">
        <f t="shared" si="10"/>
        <v>0</v>
      </c>
      <c r="M40" s="11">
        <f t="shared" si="10"/>
        <v>14.995</v>
      </c>
      <c r="N40" s="10">
        <f>9*G20*100/C20</f>
        <v>36.17701360590522</v>
      </c>
      <c r="O40" s="10">
        <f>4*F20*100/C20</f>
        <v>6.0739219798981505</v>
      </c>
      <c r="P40" s="10">
        <f>4*E20*100/C20</f>
        <v>58.933239207518646</v>
      </c>
      <c r="Q40" s="11">
        <f>9*S40*100/C20</f>
        <v>0.27630745177513943</v>
      </c>
      <c r="R40" s="11">
        <f>4*K20*100/C20</f>
        <v>24.47715612792035</v>
      </c>
      <c r="S40" s="11">
        <f>S31+S38</f>
        <v>4.375</v>
      </c>
      <c r="T40" s="11">
        <f>T31+T38</f>
        <v>3.5</v>
      </c>
      <c r="U40" s="16">
        <f>U31+U38</f>
        <v>14.2</v>
      </c>
    </row>
    <row r="41" spans="1:21" ht="28.5">
      <c r="A41" s="18" t="s">
        <v>32</v>
      </c>
      <c r="B41" s="19">
        <f aca="true" t="shared" si="11" ref="B41:M41">100*B40/$B$20</f>
        <v>0.12062532166752445</v>
      </c>
      <c r="C41" s="19">
        <f t="shared" si="11"/>
        <v>0.20513843766083376</v>
      </c>
      <c r="D41" s="19">
        <f t="shared" si="11"/>
        <v>0.019400572568193518</v>
      </c>
      <c r="E41" s="19">
        <f t="shared" si="11"/>
        <v>0</v>
      </c>
      <c r="F41" s="19">
        <f t="shared" si="11"/>
        <v>0.24175324884199692</v>
      </c>
      <c r="G41" s="19">
        <f t="shared" si="11"/>
        <v>0.11617726293103449</v>
      </c>
      <c r="H41" s="19">
        <f t="shared" si="11"/>
        <v>0</v>
      </c>
      <c r="I41" s="19">
        <f t="shared" si="11"/>
        <v>11.10758170355121</v>
      </c>
      <c r="J41" s="19">
        <f t="shared" si="11"/>
        <v>0.2412506433350489</v>
      </c>
      <c r="K41" s="19">
        <f t="shared" si="11"/>
        <v>0</v>
      </c>
      <c r="L41" s="19">
        <f t="shared" si="11"/>
        <v>0</v>
      </c>
      <c r="M41" s="19">
        <f t="shared" si="11"/>
        <v>0.3014627830674215</v>
      </c>
      <c r="N41" s="19"/>
      <c r="O41" s="19"/>
      <c r="P41" s="19"/>
      <c r="Q41" s="19"/>
      <c r="R41" s="19"/>
      <c r="S41" s="19">
        <f>100*S40/$B$20</f>
        <v>0.08795596371590324</v>
      </c>
      <c r="T41" s="19">
        <f>100*T40/$B$20</f>
        <v>0.07036477097272259</v>
      </c>
      <c r="U41" s="20">
        <f>100*U40/$B$20</f>
        <v>0.28547992794647453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6"/>
  <sheetViews>
    <sheetView view="pageLayout" zoomScale="55" zoomScaleNormal="55" zoomScalePageLayoutView="55" workbookViewId="0" topLeftCell="A28">
      <selection activeCell="C17" sqref="C17"/>
    </sheetView>
  </sheetViews>
  <sheetFormatPr defaultColWidth="9.140625" defaultRowHeight="15"/>
  <cols>
    <col min="1" max="1" width="30.28125" style="2" customWidth="1"/>
    <col min="2" max="3" width="9.140625" style="1" customWidth="1"/>
    <col min="4" max="4" width="10.8515625" style="1" customWidth="1"/>
    <col min="5" max="5" width="16.421875" style="1" customWidth="1"/>
    <col min="6" max="8" width="9.140625" style="1" customWidth="1"/>
    <col min="9" max="9" width="11.8515625" style="1" customWidth="1"/>
    <col min="10" max="12" width="9.140625" style="1" customWidth="1"/>
    <col min="13" max="13" width="11.8515625" style="1" customWidth="1"/>
    <col min="14" max="14" width="14.140625" style="1" customWidth="1"/>
    <col min="15" max="15" width="9.140625" style="1" customWidth="1"/>
    <col min="16" max="16" width="14.140625" style="1" customWidth="1"/>
    <col min="17" max="17" width="9.140625" style="1" customWidth="1"/>
    <col min="18" max="18" width="11.28125" style="1" customWidth="1"/>
    <col min="19" max="19" width="10.8515625" style="1" customWidth="1"/>
    <col min="20" max="21" width="9.140625" style="1" customWidth="1"/>
    <col min="22" max="22" width="11.8515625" style="1" customWidth="1"/>
    <col min="23" max="16384" width="9.140625" style="1" customWidth="1"/>
  </cols>
  <sheetData>
    <row r="1" spans="1:47" s="21" customFormat="1" ht="18">
      <c r="A1" s="26" t="s">
        <v>125</v>
      </c>
      <c r="B1" s="26"/>
      <c r="C1" s="26"/>
      <c r="D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" s="21" customFormat="1" ht="18">
      <c r="A2" s="26" t="s">
        <v>126</v>
      </c>
      <c r="B2" s="26"/>
      <c r="C2" s="26"/>
      <c r="D2" s="26"/>
    </row>
    <row r="4" spans="1:22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</row>
    <row r="5" spans="1:22" ht="14.25">
      <c r="A5" s="12" t="s">
        <v>69</v>
      </c>
      <c r="B5" s="13">
        <v>500</v>
      </c>
      <c r="C5" s="13">
        <f>5*'[2]ΣΥΣΤΑΣΗ ΤΡΟΦΙΜΩΝ'!B6</f>
        <v>1799</v>
      </c>
      <c r="D5" s="13">
        <f>5*'[2]ΣΥΣΤΑΣΗ ΤΡΟΦΙΜΩΝ'!C6</f>
        <v>70</v>
      </c>
      <c r="E5" s="13">
        <f>5*'[2]ΣΥΣΤΑΣΗ ΤΡΟΦΙΜΩΝ'!D6</f>
        <v>376.5</v>
      </c>
      <c r="F5" s="13">
        <f>5*'[2]ΣΥΣΤΑΣΗ ΤΡΟΦΙΜΩΝ'!E6</f>
        <v>57.5</v>
      </c>
      <c r="G5" s="13">
        <f>5*'[2]ΣΥΣΤΑΣΗ ΤΡΟΦΙΜΩΝ'!F6</f>
        <v>7</v>
      </c>
      <c r="H5" s="13">
        <f>5*'[2]ΣΥΣΤΑΣΗ ΤΡΟΦΙΜΩΝ'!G6</f>
        <v>18.5</v>
      </c>
      <c r="I5" s="13">
        <f>5*'[2]ΣΥΣΤΑΣΗ ΤΡΟΦΙΜΩΝ'!H6</f>
        <v>0</v>
      </c>
      <c r="J5" s="13">
        <f>5*'[2]ΣΥΣΤΑΣΗ ΤΡΟΦΙΜΩΝ'!I6</f>
        <v>369.5</v>
      </c>
      <c r="K5" s="13">
        <f>5*'[2]ΣΥΣΤΑΣΗ ΤΡΟΦΙΜΩΝ'!J6</f>
        <v>7</v>
      </c>
      <c r="L5" s="13">
        <f>5*'[2]ΣΥΣΤΑΣΗ ΤΡΟΦΙΜΩΝ'!K6</f>
        <v>75</v>
      </c>
      <c r="M5" s="13">
        <f>5*'[2]ΣΥΣΤΑΣΗ ΤΡΟΦΙΜΩΝ'!L6</f>
        <v>600</v>
      </c>
      <c r="N5" s="13">
        <f>5*'[2]ΣΥΣΤΑΣΗ ΤΡΟΦΙΜΩΝ'!M6</f>
        <v>155</v>
      </c>
      <c r="O5" s="13">
        <f>5*'[2]ΣΥΣΤΑΣΗ ΤΡΟΦΙΜΩΝ'!N6</f>
        <v>0</v>
      </c>
      <c r="P5" s="13">
        <f>5*'[2]ΣΥΣΤΑΣΗ ΤΡΟΦΙΜΩΝ'!O6</f>
        <v>0</v>
      </c>
      <c r="Q5" s="13">
        <f>5*'[2]ΣΥΣΤΑΣΗ ΤΡΟΦΙΜΩΝ'!P6</f>
        <v>15</v>
      </c>
      <c r="R5" s="13">
        <f>5*'[2]ΣΥΣΤΑΣΗ ΤΡΟΦΙΜΩΝ'!Q6</f>
        <v>650</v>
      </c>
      <c r="S5" s="13">
        <f>5*'[2]ΣΥΣΤΑΣΗ ΤΡΟΦΙΜΩΝ'!R6</f>
        <v>7.5</v>
      </c>
      <c r="T5" s="13">
        <f>5*'[2]ΣΥΣΤΑΣΗ ΤΡΟΦΙΜΩΝ'!S6</f>
        <v>4.5</v>
      </c>
      <c r="U5" s="13">
        <f>5*'[2]ΣΥΣΤΑΣΗ ΤΡΟΦΙΜΩΝ'!T6</f>
        <v>0.8999999999999999</v>
      </c>
      <c r="V5" s="14">
        <f>5*'[2]ΣΥΣΤΑΣΗ ΤΡΟΦΙΜΩΝ'!U6</f>
        <v>210</v>
      </c>
    </row>
    <row r="6" spans="1:22" ht="14.25">
      <c r="A6" s="15" t="s">
        <v>68</v>
      </c>
      <c r="B6" s="11">
        <v>500</v>
      </c>
      <c r="C6" s="11">
        <f>5*'[2]ΣΥΣΤΑΣΗ ΤΡΟΦΙΜΩΝ'!B7</f>
        <v>1550</v>
      </c>
      <c r="D6" s="11">
        <f>5*'[2]ΣΥΣΤΑΣΗ ΤΡΟΦΙΜΩΝ'!C7</f>
        <v>70</v>
      </c>
      <c r="E6" s="11">
        <f>5*'[2]ΣΥΣΤΑΣΗ ΤΡΟΦΙΜΩΝ'!D7</f>
        <v>319.5</v>
      </c>
      <c r="F6" s="11">
        <f>5*'[2]ΣΥΣΤΑΣΗ ΤΡΟΦΙΜΩΝ'!E7</f>
        <v>63.5</v>
      </c>
      <c r="G6" s="11">
        <f>5*'[2]ΣΥΣΤΑΣΗ ΤΡΟΦΙΜΩΝ'!F7</f>
        <v>11</v>
      </c>
      <c r="H6" s="11">
        <f>5*'[2]ΣΥΣΤΑΣΗ ΤΡΟΦΙΜΩΝ'!G7</f>
        <v>43</v>
      </c>
      <c r="I6" s="11">
        <f>5*'[2]ΣΥΣΤΑΣΗ ΤΡΟΦΙΜΩΝ'!H7</f>
        <v>0</v>
      </c>
      <c r="J6" s="11">
        <f>5*'[2]ΣΥΣΤΑΣΗ ΤΡΟΦΙΜΩΝ'!I7</f>
        <v>309</v>
      </c>
      <c r="K6" s="11">
        <f>5*'[2]ΣΥΣΤΑΣΗ ΤΡΟΦΙΜΩΝ'!J7</f>
        <v>10.5</v>
      </c>
      <c r="L6" s="11">
        <f>5*'[2]ΣΥΣΤΑΣΗ ΤΡΟΦΙΜΩΝ'!K7</f>
        <v>190</v>
      </c>
      <c r="M6" s="11">
        <f>5*'[2]ΣΥΣΤΑΣΗ ΤΡΟΦΙΜΩΝ'!L7</f>
        <v>1600</v>
      </c>
      <c r="N6" s="11">
        <f>5*'[2]ΣΥΣΤΑΣΗ ΤΡΟΦΙΜΩΝ'!M7</f>
        <v>600</v>
      </c>
      <c r="O6" s="11">
        <f>5*'[2]ΣΥΣΤΑΣΗ ΤΡΟΦΙΜΩΝ'!N7</f>
        <v>0</v>
      </c>
      <c r="P6" s="11">
        <f>5*'[2]ΣΥΣΤΑΣΗ ΤΡΟΦΙΜΩΝ'!O7</f>
        <v>0</v>
      </c>
      <c r="Q6" s="11">
        <f>5*'[2]ΣΥΣΤΑΣΗ ΤΡΟΦΙΜΩΝ'!P7</f>
        <v>15</v>
      </c>
      <c r="R6" s="11">
        <f>5*'[2]ΣΥΣΤΑΣΗ ΤΡΟΦΙΜΩΝ'!Q7</f>
        <v>1700</v>
      </c>
      <c r="S6" s="11">
        <f>5*'[2]ΣΥΣΤΑΣΗ ΤΡΟΦΙΜΩΝ'!R7</f>
        <v>19.5</v>
      </c>
      <c r="T6" s="11">
        <f>5*'[2]ΣΥΣΤΑΣΗ ΤΡΟΦΙΜΩΝ'!S7</f>
        <v>14.5</v>
      </c>
      <c r="U6" s="11">
        <f>5*'[2]ΣΥΣΤΑΣΗ ΤΡΟΦΙΜΩΝ'!T7</f>
        <v>2.25</v>
      </c>
      <c r="V6" s="16">
        <f>5*'[2]ΣΥΣΤΑΣΗ ΤΡΟΦΙΜΩΝ'!U7</f>
        <v>265</v>
      </c>
    </row>
    <row r="7" spans="1:22" ht="14.25">
      <c r="A7" s="15" t="s">
        <v>67</v>
      </c>
      <c r="B7" s="11">
        <v>7.5</v>
      </c>
      <c r="C7" s="11">
        <f>0.075*'[2]ΣΥΣΤΑΣΗ ΤΡΟΦΙΜΩΝ'!B111</f>
        <v>12.9</v>
      </c>
      <c r="D7" s="11">
        <f>0.075*'[2]ΣΥΣΤΑΣΗ ΤΡΟΦΙΜΩΝ'!C111</f>
        <v>0.4725</v>
      </c>
      <c r="E7" s="11">
        <f>0.075*'[2]ΣΥΣΤΑΣΗ ΤΡΟΦΙΜΩΝ'!D111</f>
        <v>2.8349999999999995</v>
      </c>
      <c r="F7" s="11">
        <f>0.075*'[2]ΣΥΣΤΑΣΗ ΤΡΟΦΙΜΩΝ'!E111</f>
        <v>0.39</v>
      </c>
      <c r="G7" s="11" t="s">
        <v>24</v>
      </c>
      <c r="H7" s="11">
        <f>0.075*'[2]ΣΥΣΤΑΣΗ ΤΡΟΦΙΜΩΝ'!G111</f>
        <v>0</v>
      </c>
      <c r="I7" s="11">
        <f>0.075*'[2]ΣΥΣΤΑΣΗ ΤΡΟΦΙΜΩΝ'!H111</f>
        <v>0</v>
      </c>
      <c r="J7" s="11">
        <f>0.075*'[2]ΣΥΣΤΑΣΗ ΤΡΟΦΙΜΩΝ'!I111</f>
        <v>2.8349999999999995</v>
      </c>
      <c r="K7" s="11" t="s">
        <v>24</v>
      </c>
      <c r="L7" s="11">
        <f>0.075*'[2]ΣΥΣΤΑΣΗ ΤΡΟΦΙΜΩΝ'!K111</f>
        <v>84.75</v>
      </c>
      <c r="M7" s="11">
        <f>0.075*'[2]ΣΥΣΤΑΣΗ ΤΡΟΦΙΜΩΝ'!L111</f>
        <v>632.25</v>
      </c>
      <c r="N7" s="11">
        <f>0.075*'[2]ΣΥΣΤΑΣΗ ΤΡΟΦΙΜΩΝ'!M111</f>
        <v>0.6749999999999999</v>
      </c>
      <c r="O7" s="11">
        <f>0.075*'[2]ΣΥΣΤΑΣΗ ΤΡΟΦΙΜΩΝ'!N111</f>
        <v>2.175</v>
      </c>
      <c r="P7" s="11" t="s">
        <v>24</v>
      </c>
      <c r="Q7" s="11">
        <f>0.075*'[2]ΣΥΣΤΑΣΗ ΤΡΟΦΙΜΩΝ'!P111</f>
        <v>885</v>
      </c>
      <c r="R7" s="11">
        <f>0.075*'[2]ΣΥΣΤΑΣΗ ΤΡΟΦΙΜΩΝ'!Q111</f>
        <v>3.675</v>
      </c>
      <c r="S7" s="11" t="s">
        <v>24</v>
      </c>
      <c r="T7" s="11">
        <f>0.075*'[2]ΣΥΣΤΑΣΗ ΤΡΟΦΙΜΩΝ'!S111</f>
        <v>0.21</v>
      </c>
      <c r="U7" s="11" t="s">
        <v>24</v>
      </c>
      <c r="V7" s="16" t="s">
        <v>24</v>
      </c>
    </row>
    <row r="8" spans="1:22" ht="14.25">
      <c r="A8" s="15" t="s">
        <v>63</v>
      </c>
      <c r="B8" s="11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1800</v>
      </c>
      <c r="P8" s="11"/>
      <c r="Q8" s="11">
        <v>1200</v>
      </c>
      <c r="R8" s="11"/>
      <c r="S8" s="11"/>
      <c r="T8" s="11"/>
      <c r="U8" s="11"/>
      <c r="V8" s="16"/>
    </row>
    <row r="9" spans="1:22" ht="14.25">
      <c r="A9" s="15" t="s">
        <v>19</v>
      </c>
      <c r="B9" s="11">
        <v>750</v>
      </c>
      <c r="C9" s="11"/>
      <c r="D9" s="11">
        <v>750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6"/>
    </row>
    <row r="10" spans="1:22" ht="14.25">
      <c r="A10" s="15" t="s">
        <v>2</v>
      </c>
      <c r="B10" s="11">
        <f>SUM(B5:B9)-0.23*1760.5</f>
        <v>1355.585</v>
      </c>
      <c r="C10" s="11">
        <f>SUM(C5:C9)</f>
        <v>3361.9</v>
      </c>
      <c r="D10" s="11">
        <f>SUM(D5:D9)-0.23*1760.5</f>
        <v>485.55749999999995</v>
      </c>
      <c r="E10" s="11">
        <f aca="true" t="shared" si="0" ref="E10:V10">SUM(E5:E9)</f>
        <v>698.835</v>
      </c>
      <c r="F10" s="11">
        <f t="shared" si="0"/>
        <v>121.39</v>
      </c>
      <c r="G10" s="11">
        <f t="shared" si="0"/>
        <v>18</v>
      </c>
      <c r="H10" s="11">
        <f t="shared" si="0"/>
        <v>61.5</v>
      </c>
      <c r="I10" s="11">
        <f t="shared" si="0"/>
        <v>0</v>
      </c>
      <c r="J10" s="11">
        <f t="shared" si="0"/>
        <v>681.335</v>
      </c>
      <c r="K10" s="11">
        <f t="shared" si="0"/>
        <v>17.5</v>
      </c>
      <c r="L10" s="11">
        <f t="shared" si="0"/>
        <v>349.75</v>
      </c>
      <c r="M10" s="11">
        <f t="shared" si="0"/>
        <v>2832.25</v>
      </c>
      <c r="N10" s="11">
        <f t="shared" si="0"/>
        <v>755.675</v>
      </c>
      <c r="O10" s="11">
        <f t="shared" si="0"/>
        <v>1802.175</v>
      </c>
      <c r="P10" s="11">
        <f t="shared" si="0"/>
        <v>0</v>
      </c>
      <c r="Q10" s="11">
        <f t="shared" si="0"/>
        <v>2115</v>
      </c>
      <c r="R10" s="11">
        <f t="shared" si="0"/>
        <v>2353.675</v>
      </c>
      <c r="S10" s="11">
        <f t="shared" si="0"/>
        <v>27</v>
      </c>
      <c r="T10" s="11">
        <f t="shared" si="0"/>
        <v>19.21</v>
      </c>
      <c r="U10" s="11">
        <f t="shared" si="0"/>
        <v>3.15</v>
      </c>
      <c r="V10" s="16">
        <f t="shared" si="0"/>
        <v>475</v>
      </c>
    </row>
    <row r="11" spans="1:22" ht="14.25">
      <c r="A11" s="15" t="s">
        <v>66</v>
      </c>
      <c r="B11" s="11">
        <v>250</v>
      </c>
      <c r="C11" s="11">
        <f>2.5*'[2]ΣΥΣΤΑΣΗ ΤΡΟΦΙΜΩΝ'!B87</f>
        <v>645</v>
      </c>
      <c r="D11" s="11">
        <f>2.5*'[2]ΣΥΣΤΑΣΗ ΤΡΟΦΙΜΩΝ'!C87</f>
        <v>84.75</v>
      </c>
      <c r="E11" s="11">
        <f>2.5*'[2]ΣΥΣΤΑΣΗ ΤΡΟΦΙΜΩΝ'!D87</f>
        <v>160</v>
      </c>
      <c r="F11" s="11">
        <f>2.5*'[2]ΣΥΣΤΑΣΗ ΤΡΟΦΙΜΩΝ'!E87</f>
        <v>2.25</v>
      </c>
      <c r="G11" s="11">
        <f>2.5*'[2]ΣΥΣΤΑΣΗ ΤΡΟΦΙΜΩΝ'!F87</f>
        <v>0.25</v>
      </c>
      <c r="H11" s="11">
        <f>2.5*'[2]ΣΥΣΤΑΣΗ ΤΡΟΦΙΜΩΝ'!G87</f>
        <v>0.25</v>
      </c>
      <c r="I11" s="11" t="s">
        <v>20</v>
      </c>
      <c r="J11" s="11" t="s">
        <v>20</v>
      </c>
      <c r="K11" s="11" t="s">
        <v>20</v>
      </c>
      <c r="L11" s="11">
        <f>2*'[2]ΣΥΣΤΑΣΗ ΤΡΟΦΙΜΩΝ'!K87</f>
        <v>110</v>
      </c>
      <c r="M11" s="11" t="s">
        <v>20</v>
      </c>
      <c r="N11" s="11" t="s">
        <v>20</v>
      </c>
      <c r="O11" s="11" t="s">
        <v>20</v>
      </c>
      <c r="P11" s="11" t="s">
        <v>20</v>
      </c>
      <c r="Q11" s="11" t="s">
        <v>20</v>
      </c>
      <c r="R11" s="11" t="s">
        <v>20</v>
      </c>
      <c r="S11" s="11">
        <f>2*'[2]ΣΥΣΤΑΣΗ ΤΡΟΦΙΜΩΝ'!R87</f>
        <v>13.2</v>
      </c>
      <c r="T11" s="11" t="s">
        <v>20</v>
      </c>
      <c r="U11" s="11" t="s">
        <v>20</v>
      </c>
      <c r="V11" s="16" t="s">
        <v>20</v>
      </c>
    </row>
    <row r="12" spans="1:22" ht="28.5">
      <c r="A12" s="15" t="s">
        <v>65</v>
      </c>
      <c r="B12" s="11">
        <f aca="true" t="shared" si="1" ref="B12:H12">B10+B11</f>
        <v>1605.585</v>
      </c>
      <c r="C12" s="11">
        <f t="shared" si="1"/>
        <v>4006.9</v>
      </c>
      <c r="D12" s="11">
        <f t="shared" si="1"/>
        <v>570.3074999999999</v>
      </c>
      <c r="E12" s="11">
        <f t="shared" si="1"/>
        <v>858.835</v>
      </c>
      <c r="F12" s="11">
        <f t="shared" si="1"/>
        <v>123.64</v>
      </c>
      <c r="G12" s="11">
        <f t="shared" si="1"/>
        <v>18.25</v>
      </c>
      <c r="H12" s="11">
        <f t="shared" si="1"/>
        <v>61.75</v>
      </c>
      <c r="I12" s="11">
        <f>I10</f>
        <v>0</v>
      </c>
      <c r="J12" s="11">
        <f>J10</f>
        <v>681.335</v>
      </c>
      <c r="K12" s="11">
        <f>K10</f>
        <v>17.5</v>
      </c>
      <c r="L12" s="11">
        <f>L10+L11</f>
        <v>459.75</v>
      </c>
      <c r="M12" s="11">
        <f aca="true" t="shared" si="2" ref="M12:R12">M10</f>
        <v>2832.25</v>
      </c>
      <c r="N12" s="11">
        <f t="shared" si="2"/>
        <v>755.675</v>
      </c>
      <c r="O12" s="11">
        <f t="shared" si="2"/>
        <v>1802.175</v>
      </c>
      <c r="P12" s="11">
        <f t="shared" si="2"/>
        <v>0</v>
      </c>
      <c r="Q12" s="11">
        <f t="shared" si="2"/>
        <v>2115</v>
      </c>
      <c r="R12" s="11">
        <f t="shared" si="2"/>
        <v>2353.675</v>
      </c>
      <c r="S12" s="11">
        <f>S10+S11</f>
        <v>40.2</v>
      </c>
      <c r="T12" s="11">
        <f>T10</f>
        <v>19.21</v>
      </c>
      <c r="U12" s="11">
        <f>U10</f>
        <v>3.15</v>
      </c>
      <c r="V12" s="16">
        <f>V10</f>
        <v>475</v>
      </c>
    </row>
    <row r="13" spans="1:22" ht="28.5">
      <c r="A13" s="18" t="s">
        <v>32</v>
      </c>
      <c r="B13" s="19">
        <v>100</v>
      </c>
      <c r="C13" s="19">
        <f aca="true" t="shared" si="3" ref="C13:V13">100*C12/$B$12</f>
        <v>249.56012917410163</v>
      </c>
      <c r="D13" s="19">
        <f t="shared" si="3"/>
        <v>35.52023094386157</v>
      </c>
      <c r="E13" s="19">
        <f t="shared" si="3"/>
        <v>53.4904723200578</v>
      </c>
      <c r="F13" s="19">
        <f t="shared" si="3"/>
        <v>7.700620023231408</v>
      </c>
      <c r="G13" s="19">
        <f t="shared" si="3"/>
        <v>1.1366573554187414</v>
      </c>
      <c r="H13" s="19">
        <f t="shared" si="3"/>
        <v>3.8459502299784813</v>
      </c>
      <c r="I13" s="19">
        <f t="shared" si="3"/>
        <v>0</v>
      </c>
      <c r="J13" s="19">
        <f t="shared" si="3"/>
        <v>42.43531173995771</v>
      </c>
      <c r="K13" s="19">
        <f t="shared" si="3"/>
        <v>1.0899454093056424</v>
      </c>
      <c r="L13" s="19">
        <f t="shared" si="3"/>
        <v>28.634422967329666</v>
      </c>
      <c r="M13" s="19">
        <f t="shared" si="3"/>
        <v>176.39987917176606</v>
      </c>
      <c r="N13" s="19">
        <f t="shared" si="3"/>
        <v>47.06539983868808</v>
      </c>
      <c r="O13" s="19">
        <f t="shared" si="3"/>
        <v>112.2441353151655</v>
      </c>
      <c r="P13" s="19">
        <f t="shared" si="3"/>
        <v>0</v>
      </c>
      <c r="Q13" s="19">
        <f t="shared" si="3"/>
        <v>131.72768803893908</v>
      </c>
      <c r="R13" s="19">
        <f t="shared" si="3"/>
        <v>146.5929863569976</v>
      </c>
      <c r="S13" s="19">
        <f t="shared" si="3"/>
        <v>2.5037603116621048</v>
      </c>
      <c r="T13" s="19">
        <f t="shared" si="3"/>
        <v>1.196448646443508</v>
      </c>
      <c r="U13" s="19">
        <f t="shared" si="3"/>
        <v>0.19619017367501565</v>
      </c>
      <c r="V13" s="20">
        <f t="shared" si="3"/>
        <v>29.58423253829601</v>
      </c>
    </row>
    <row r="14" spans="23:47" ht="14.25"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7" spans="1:22" ht="60">
      <c r="A17" s="4"/>
      <c r="B17" s="5" t="s">
        <v>82</v>
      </c>
      <c r="C17" s="6" t="s">
        <v>83</v>
      </c>
      <c r="D17" s="6" t="s">
        <v>84</v>
      </c>
      <c r="E17" s="6" t="s">
        <v>18</v>
      </c>
      <c r="F17" s="6" t="s">
        <v>85</v>
      </c>
      <c r="G17" s="6" t="s">
        <v>86</v>
      </c>
      <c r="H17" s="6" t="s">
        <v>87</v>
      </c>
      <c r="I17" s="6" t="s">
        <v>88</v>
      </c>
      <c r="J17" s="6" t="s">
        <v>89</v>
      </c>
      <c r="K17" s="6" t="s">
        <v>90</v>
      </c>
      <c r="L17" s="6" t="s">
        <v>91</v>
      </c>
      <c r="M17" s="6" t="s">
        <v>92</v>
      </c>
      <c r="N17" s="6" t="s">
        <v>17</v>
      </c>
      <c r="O17" s="6" t="s">
        <v>16</v>
      </c>
      <c r="P17" s="6" t="s">
        <v>15</v>
      </c>
      <c r="Q17" s="6" t="s">
        <v>14</v>
      </c>
      <c r="R17" s="6" t="s">
        <v>13</v>
      </c>
      <c r="S17" s="6" t="s">
        <v>93</v>
      </c>
      <c r="T17" s="6" t="s">
        <v>94</v>
      </c>
      <c r="U17" s="7" t="s">
        <v>95</v>
      </c>
      <c r="V17" s="8"/>
    </row>
    <row r="18" spans="1:21" ht="14.25">
      <c r="A18" s="12" t="s">
        <v>69</v>
      </c>
      <c r="B18" s="13">
        <f>5*'[2]ΣΥΣΤΑΣΗ ΤΡΟΦΙΜΩΝ'!V6</f>
        <v>0</v>
      </c>
      <c r="C18" s="13">
        <f>5*'[2]ΣΥΣΤΑΣΗ ΤΡΟΦΙΜΩΝ'!W6*0.8</f>
        <v>0.4</v>
      </c>
      <c r="D18" s="13">
        <f>5*'[2]ΣΥΣΤΑΣΗ ΤΡΟΦΙΜΩΝ'!X6*0.9</f>
        <v>0.135</v>
      </c>
      <c r="E18" s="13">
        <f>5*'[2]ΣΥΣΤΑΣΗ ΤΡΟΦΙΜΩΝ'!Y6</f>
        <v>0</v>
      </c>
      <c r="F18" s="13">
        <f>5*'[2]ΣΥΣΤΑΣΗ ΤΡΟΦΙΜΩΝ'!Z6*0.9</f>
        <v>3.15</v>
      </c>
      <c r="G18" s="13">
        <f>5*'[2]ΣΥΣΤΑΣΗ ΤΡΟΦΙΜΩΝ'!AA6*0.9</f>
        <v>0.675</v>
      </c>
      <c r="H18" s="13">
        <f>5*'[2]ΣΥΣΤΑΣΗ ΤΡΟΦΙΜΩΝ'!AB6</f>
        <v>0</v>
      </c>
      <c r="I18" s="13">
        <f>5*'[2]ΣΥΣΤΑΣΗ ΤΡΟΦΙΜΩΝ'!AC6*0.7</f>
        <v>108.5</v>
      </c>
      <c r="J18" s="13">
        <f>5*'[2]ΣΥΣΤΑΣΗ ΤΡΟΦΙΜΩΝ'!AD6</f>
        <v>0</v>
      </c>
      <c r="K18" s="13">
        <f>5*'[2]ΣΥΣΤΑΣΗ ΤΡΟΦΙΜΩΝ'!AE6</f>
        <v>0</v>
      </c>
      <c r="L18" s="13">
        <f>5*'[2]ΣΥΣΤΑΣΗ ΤΡΟΦΙΜΩΝ'!AF6</f>
        <v>0</v>
      </c>
      <c r="M18" s="13">
        <f>5*'[2]ΣΥΣΤΑΣΗ ΤΡΟΦΙΜΩΝ'!AG6</f>
        <v>1.5</v>
      </c>
      <c r="N18" s="13">
        <f>'[2]ΣΥΣΤΑΣΗ ΤΡΟΦΙΜΩΝ'!AH6</f>
        <v>3.501945525291829</v>
      </c>
      <c r="O18" s="13">
        <f>'[2]ΣΥΣΤΑΣΗ ΤΡΟΦΙΜΩΝ'!AI6</f>
        <v>12.784880489160644</v>
      </c>
      <c r="P18" s="13">
        <f>'[2]ΣΥΣΤΑΣΗ ΤΡΟΦΙΜΩΝ'!AJ6</f>
        <v>83.71317398554753</v>
      </c>
      <c r="Q18" s="13">
        <f>'[2]ΣΥΣΤΑΣΗ ΤΡΟΦΙΜΩΝ'!AK6</f>
        <v>0.500277932184547</v>
      </c>
      <c r="R18" s="13">
        <f>'[2]ΣΥΣΤΑΣΗ ΤΡΟΦΙΜΩΝ'!AL6</f>
        <v>1.556420233463035</v>
      </c>
      <c r="S18" s="13">
        <f>5*'[2]ΣΥΣΤΑΣΗ ΤΡΟΦΙΜΩΝ'!AM6</f>
        <v>1</v>
      </c>
      <c r="T18" s="13">
        <f>5*'[2]ΣΥΣΤΑΣΗ ΤΡΟΦΙΜΩΝ'!AN6</f>
        <v>0.5</v>
      </c>
      <c r="U18" s="14">
        <f>5*'[2]ΣΥΣΤΑΣΗ ΤΡΟΦΙΜΩΝ'!AO6</f>
        <v>3</v>
      </c>
    </row>
    <row r="19" spans="1:21" ht="14.25">
      <c r="A19" s="15" t="s">
        <v>68</v>
      </c>
      <c r="B19" s="11">
        <f>5*'[2]ΣΥΣΤΑΣΗ ΤΡΟΦΙΜΩΝ'!V7</f>
        <v>0</v>
      </c>
      <c r="C19" s="11">
        <f>5*'[2]ΣΥΣΤΑΣΗ ΤΡΟΦΙΜΩΝ'!W7*0.8</f>
        <v>5.6000000000000005</v>
      </c>
      <c r="D19" s="11">
        <f>5*'[2]ΣΥΣΤΑΣΗ ΤΡΟΦΙΜΩΝ'!X7*0.9</f>
        <v>0.40499999999999997</v>
      </c>
      <c r="E19" s="11">
        <f>5*'[2]ΣΥΣΤΑΣΗ ΤΡΟΦΙΜΩΝ'!Y7</f>
        <v>0</v>
      </c>
      <c r="F19" s="11">
        <f>5*'[2]ΣΥΣΤΑΣΗ ΤΡΟΦΙΜΩΝ'!Z7*0.9</f>
        <v>3.15</v>
      </c>
      <c r="G19" s="11">
        <f>5*'[2]ΣΥΣΤΑΣΗ ΤΡΟΦΙΜΩΝ'!AA7*0.9</f>
        <v>2.25</v>
      </c>
      <c r="H19" s="11">
        <f>5*'[2]ΣΥΣΤΑΣΗ ΤΡΟΦΙΜΩΝ'!AB7</f>
        <v>0</v>
      </c>
      <c r="I19" s="11">
        <f>5*'[2]ΣΥΣΤΑΣΗ ΤΡΟΦΙΜΩΝ'!AC7*0.7</f>
        <v>199.5</v>
      </c>
      <c r="J19" s="11">
        <f>5*'[2]ΣΥΣΤΑΣΗ ΤΡΟΦΙΜΩΝ'!AD7</f>
        <v>0</v>
      </c>
      <c r="K19" s="11">
        <f>5*'[2]ΣΥΣΤΑΣΗ ΤΡΟΦΙΜΩΝ'!AE7</f>
        <v>0</v>
      </c>
      <c r="L19" s="11">
        <f>5*'[2]ΣΥΣΤΑΣΗ ΤΡΟΦΙΜΩΝ'!AF7</f>
        <v>0</v>
      </c>
      <c r="M19" s="11">
        <f>5*'[2]ΣΥΣΤΑΣΗ ΤΡΟΦΙΜΩΝ'!AG7</f>
        <v>7</v>
      </c>
      <c r="N19" s="11">
        <f>'[2]ΣΥΣΤΑΣΗ ΤΡΟΦΙΜΩΝ'!AH7</f>
        <v>6.387096774193548</v>
      </c>
      <c r="O19" s="11">
        <f>'[2]ΣΥΣΤΑΣΗ ΤΡΟΦΙΜΩΝ'!AI7</f>
        <v>16.387096774193548</v>
      </c>
      <c r="P19" s="11">
        <f>'[2]ΣΥΣΤΑΣΗ ΤΡΟΦΙΜΩΝ'!AJ7</f>
        <v>82.45161290322581</v>
      </c>
      <c r="Q19" s="11">
        <f>'[2]ΣΥΣΤΑΣΗ ΤΡΟΦΙΜΩΝ'!AK7</f>
        <v>0.8709677419354839</v>
      </c>
      <c r="R19" s="11">
        <f>'[2]ΣΥΣΤΑΣΗ ΤΡΟΦΙΜΩΝ'!AL7</f>
        <v>2.7096774193548385</v>
      </c>
      <c r="S19" s="11">
        <f>5*'[2]ΣΥΣΤΑΣΗ ΤΡΟΦΙΜΩΝ'!AM7</f>
        <v>1.5</v>
      </c>
      <c r="T19" s="11">
        <f>5*'[2]ΣΥΣΤΑΣΗ ΤΡΟΦΙΜΩΝ'!AN7</f>
        <v>1.5</v>
      </c>
      <c r="U19" s="16">
        <f>5*'[2]ΣΥΣΤΑΣΗ ΤΡΟΦΙΜΩΝ'!AO7</f>
        <v>5</v>
      </c>
    </row>
    <row r="20" spans="1:21" ht="14.25">
      <c r="A20" s="15" t="s">
        <v>67</v>
      </c>
      <c r="B20" s="11" t="s">
        <v>24</v>
      </c>
      <c r="C20" s="11" t="s">
        <v>24</v>
      </c>
      <c r="D20" s="11" t="s">
        <v>24</v>
      </c>
      <c r="E20" s="11">
        <f>0.075*'[2]ΣΥΣΤΑΣΗ ΤΡΟΦΙΜΩΝ'!Y111</f>
        <v>0</v>
      </c>
      <c r="F20" s="11" t="s">
        <v>24</v>
      </c>
      <c r="G20" s="11" t="s">
        <v>24</v>
      </c>
      <c r="H20" s="11">
        <f>0.075*'[2]ΣΥΣΤΑΣΗ ΤΡΟΦΙΜΩΝ'!AB111</f>
        <v>0</v>
      </c>
      <c r="I20" s="11" t="s">
        <v>24</v>
      </c>
      <c r="J20" s="11">
        <f>0.075*'[2]ΣΥΣΤΑΣΗ ΤΡΟΦΙΜΩΝ'!AD111</f>
        <v>0</v>
      </c>
      <c r="K20" s="11">
        <f>0.075*'[2]ΣΥΣΤΑΣΗ ΤΡΟΦΙΜΩΝ'!AE111</f>
        <v>0</v>
      </c>
      <c r="L20" s="11">
        <f>0.075*'[2]ΣΥΣΤΑΣΗ ΤΡΟΦΙΜΩΝ'!AF111</f>
        <v>0</v>
      </c>
      <c r="M20" s="11" t="str">
        <f>'[2]ΣΥΣΤΑΣΗ ΤΡΟΦΙΜΩΝ'!AG111</f>
        <v>tr</v>
      </c>
      <c r="N20" s="11">
        <f>'[2]ΣΥΣΤΑΣΗ ΤΡΟΦΙΜΩΝ'!AH111</f>
        <v>0</v>
      </c>
      <c r="O20" s="11">
        <f>'[2]ΣΥΣΤΑΣΗ ΤΡΟΦΙΜΩΝ'!AI111</f>
        <v>12.093023255813954</v>
      </c>
      <c r="P20" s="11">
        <f>'[2]ΣΥΣΤΑΣΗ ΤΡΟΦΙΜΩΝ'!AJ111</f>
        <v>87.90697674418604</v>
      </c>
      <c r="Q20" s="11">
        <f>'[2]ΣΥΣΤΑΣΗ ΤΡΟΦΙΜΩΝ'!AK111</f>
        <v>0</v>
      </c>
      <c r="R20" s="11">
        <f>'[2]ΣΥΣΤΑΣΗ ΤΡΟΦΙΜΩΝ'!AL111</f>
        <v>0</v>
      </c>
      <c r="S20" s="11">
        <f>0.075*'[2]ΣΥΣΤΑΣΗ ΤΡΟΦΙΜΩΝ'!AM111</f>
        <v>0</v>
      </c>
      <c r="T20" s="11">
        <f>0.075*'[2]ΣΥΣΤΑΣΗ ΤΡΟΦΙΜΩΝ'!AN111</f>
        <v>0</v>
      </c>
      <c r="U20" s="16">
        <f>0.075*'[2]ΣΥΣΤΑΣΗ ΤΡΟΦΙΜΩΝ'!AO111</f>
        <v>0</v>
      </c>
    </row>
    <row r="21" spans="1:21" ht="14.25">
      <c r="A21" s="15" t="s">
        <v>63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6"/>
    </row>
    <row r="22" spans="1:21" ht="14.25">
      <c r="A22" s="15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6"/>
    </row>
    <row r="23" spans="1:21" ht="14.25">
      <c r="A23" s="15" t="s">
        <v>2</v>
      </c>
      <c r="B23" s="11">
        <f aca="true" t="shared" si="4" ref="B23:M23">SUM(B18:B22)</f>
        <v>0</v>
      </c>
      <c r="C23" s="11">
        <f t="shared" si="4"/>
        <v>6.000000000000001</v>
      </c>
      <c r="D23" s="11">
        <f t="shared" si="4"/>
        <v>0.54</v>
      </c>
      <c r="E23" s="11">
        <f t="shared" si="4"/>
        <v>0</v>
      </c>
      <c r="F23" s="11">
        <f t="shared" si="4"/>
        <v>6.3</v>
      </c>
      <c r="G23" s="11">
        <f t="shared" si="4"/>
        <v>2.925</v>
      </c>
      <c r="H23" s="11">
        <f t="shared" si="4"/>
        <v>0</v>
      </c>
      <c r="I23" s="11">
        <f t="shared" si="4"/>
        <v>308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8.5</v>
      </c>
      <c r="N23" s="23">
        <f>G10*9*100/C10</f>
        <v>4.818703709212053</v>
      </c>
      <c r="O23" s="23">
        <f>4*F10*100/C10</f>
        <v>14.44302329040126</v>
      </c>
      <c r="P23" s="23">
        <f>4*E10*100/C10</f>
        <v>83.14762485499271</v>
      </c>
      <c r="Q23" s="23">
        <f>S23*9*100/C10</f>
        <v>0.6692644040572295</v>
      </c>
      <c r="R23" s="23">
        <f>4*K10*100/C10</f>
        <v>2.082155923733603</v>
      </c>
      <c r="S23" s="11">
        <f>SUM(S18:S22)</f>
        <v>2.5</v>
      </c>
      <c r="T23" s="11">
        <f>SUM(T18:T22)</f>
        <v>2</v>
      </c>
      <c r="U23" s="16">
        <f>SUM(U18:U22)</f>
        <v>8</v>
      </c>
    </row>
    <row r="24" spans="1:21" ht="14.25">
      <c r="A24" s="15" t="s">
        <v>66</v>
      </c>
      <c r="B24" s="11" t="s">
        <v>20</v>
      </c>
      <c r="C24" s="11">
        <f>2*'[2]ΣΥΣΤΑΣΗ ΤΡΟΦΙΜΩΝ'!W87</f>
        <v>0.08</v>
      </c>
      <c r="D24" s="11">
        <f>2*'[2]ΣΥΣΤΑΣΗ ΤΡΟΦΙΜΩΝ'!X87</f>
        <v>1.46</v>
      </c>
      <c r="E24" s="11" t="s">
        <v>20</v>
      </c>
      <c r="F24" s="11">
        <f>2*'[2]ΣΥΣΤΑΣΗ ΤΡΟΦΙΜΩΝ'!Z87</f>
        <v>1.4</v>
      </c>
      <c r="G24" s="11" t="s">
        <v>20</v>
      </c>
      <c r="H24" s="11" t="s">
        <v>20</v>
      </c>
      <c r="I24" s="11" t="s">
        <v>20</v>
      </c>
      <c r="J24" s="11" t="s">
        <v>20</v>
      </c>
      <c r="K24" s="11" t="s">
        <v>20</v>
      </c>
      <c r="L24" s="11" t="s">
        <v>20</v>
      </c>
      <c r="M24" s="11" t="s">
        <v>20</v>
      </c>
      <c r="N24" s="11"/>
      <c r="O24" s="11"/>
      <c r="P24" s="11"/>
      <c r="Q24" s="11"/>
      <c r="R24" s="11"/>
      <c r="S24" s="11" t="s">
        <v>20</v>
      </c>
      <c r="T24" s="11" t="s">
        <v>20</v>
      </c>
      <c r="U24" s="16" t="s">
        <v>20</v>
      </c>
    </row>
    <row r="25" spans="1:21" ht="28.5">
      <c r="A25" s="15" t="s">
        <v>65</v>
      </c>
      <c r="B25" s="11">
        <f>B23</f>
        <v>0</v>
      </c>
      <c r="C25" s="11">
        <f>C23+C24</f>
        <v>6.080000000000001</v>
      </c>
      <c r="D25" s="11">
        <f>D23+D24</f>
        <v>2</v>
      </c>
      <c r="E25" s="11">
        <f>E23</f>
        <v>0</v>
      </c>
      <c r="F25" s="11">
        <f>F23+F24</f>
        <v>7.699999999999999</v>
      </c>
      <c r="G25" s="11">
        <f>G23</f>
        <v>2.925</v>
      </c>
      <c r="H25" s="11">
        <f aca="true" t="shared" si="5" ref="H25:M25">H23</f>
        <v>0</v>
      </c>
      <c r="I25" s="11">
        <f t="shared" si="5"/>
        <v>308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11">
        <f t="shared" si="5"/>
        <v>8.5</v>
      </c>
      <c r="N25" s="11"/>
      <c r="O25" s="11"/>
      <c r="P25" s="11"/>
      <c r="Q25" s="11"/>
      <c r="R25" s="11"/>
      <c r="S25" s="11">
        <f>S23</f>
        <v>2.5</v>
      </c>
      <c r="T25" s="11">
        <f>T23</f>
        <v>2</v>
      </c>
      <c r="U25" s="11">
        <f>U23</f>
        <v>8</v>
      </c>
    </row>
    <row r="26" spans="1:21" ht="28.5">
      <c r="A26" s="18" t="s">
        <v>32</v>
      </c>
      <c r="B26" s="19">
        <f aca="true" t="shared" si="6" ref="B26:M26">100*B25/$B$12</f>
        <v>0</v>
      </c>
      <c r="C26" s="19">
        <f t="shared" si="6"/>
        <v>0.378678176490189</v>
      </c>
      <c r="D26" s="19">
        <f t="shared" si="6"/>
        <v>0.12456518963493057</v>
      </c>
      <c r="E26" s="19">
        <f t="shared" si="6"/>
        <v>0</v>
      </c>
      <c r="F26" s="19">
        <f t="shared" si="6"/>
        <v>0.4795759800944826</v>
      </c>
      <c r="G26" s="19">
        <f t="shared" si="6"/>
        <v>0.18217658984108595</v>
      </c>
      <c r="H26" s="19">
        <f t="shared" si="6"/>
        <v>0</v>
      </c>
      <c r="I26" s="19">
        <f t="shared" si="6"/>
        <v>19.18303920377931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>
        <f t="shared" si="6"/>
        <v>0.5294020559484549</v>
      </c>
      <c r="N26" s="25"/>
      <c r="O26" s="25"/>
      <c r="P26" s="25"/>
      <c r="Q26" s="25"/>
      <c r="R26" s="25"/>
      <c r="S26" s="19">
        <f>100*S25/$B$12</f>
        <v>0.15570648704366322</v>
      </c>
      <c r="T26" s="19">
        <f>100*T25/$B$12</f>
        <v>0.12456518963493057</v>
      </c>
      <c r="U26" s="20">
        <f>100*U25/$B$12</f>
        <v>0.4982607585397223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view="pageLayout" zoomScale="70" zoomScaleNormal="70" zoomScalePageLayoutView="70" workbookViewId="0" topLeftCell="A34">
      <selection activeCell="J18" sqref="J18"/>
    </sheetView>
  </sheetViews>
  <sheetFormatPr defaultColWidth="9.140625" defaultRowHeight="15"/>
  <cols>
    <col min="1" max="1" width="24.8515625" style="2" customWidth="1"/>
    <col min="2" max="3" width="9.140625" style="1" customWidth="1"/>
    <col min="4" max="4" width="11.00390625" style="1" customWidth="1"/>
    <col min="5" max="5" width="15.7109375" style="1" customWidth="1"/>
    <col min="6" max="8" width="9.140625" style="1" customWidth="1"/>
    <col min="9" max="9" width="13.7109375" style="1" customWidth="1"/>
    <col min="10" max="12" width="9.140625" style="1" customWidth="1"/>
    <col min="13" max="13" width="12.421875" style="1" customWidth="1"/>
    <col min="14" max="14" width="11.7109375" style="1" customWidth="1"/>
    <col min="15" max="15" width="12.28125" style="1" customWidth="1"/>
    <col min="16" max="16" width="14.140625" style="1" customWidth="1"/>
    <col min="17" max="17" width="12.28125" style="1" customWidth="1"/>
    <col min="18" max="18" width="11.28125" style="1" customWidth="1"/>
    <col min="19" max="19" width="10.8515625" style="1" customWidth="1"/>
    <col min="20" max="21" width="9.140625" style="1" customWidth="1"/>
    <col min="22" max="22" width="10.8515625" style="1" customWidth="1"/>
    <col min="23" max="16384" width="9.140625" style="1" customWidth="1"/>
  </cols>
  <sheetData>
    <row r="1" spans="1:47" s="21" customFormat="1" ht="18">
      <c r="A1" s="26" t="s">
        <v>127</v>
      </c>
      <c r="B1" s="26"/>
      <c r="C1" s="26"/>
      <c r="D1" s="26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" s="21" customFormat="1" ht="18">
      <c r="A2" s="26" t="s">
        <v>118</v>
      </c>
      <c r="B2" s="26"/>
      <c r="C2" s="26"/>
      <c r="D2" s="26"/>
    </row>
    <row r="4" spans="1:24" ht="30">
      <c r="A4" s="9"/>
      <c r="B4" s="6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 t="s">
        <v>106</v>
      </c>
      <c r="M4" s="6" t="s">
        <v>107</v>
      </c>
      <c r="N4" s="6" t="s">
        <v>108</v>
      </c>
      <c r="O4" s="6" t="s">
        <v>109</v>
      </c>
      <c r="P4" s="6" t="s">
        <v>110</v>
      </c>
      <c r="Q4" s="6" t="s">
        <v>111</v>
      </c>
      <c r="R4" s="6" t="s">
        <v>112</v>
      </c>
      <c r="S4" s="6" t="s">
        <v>113</v>
      </c>
      <c r="T4" s="6" t="s">
        <v>114</v>
      </c>
      <c r="U4" s="6" t="s">
        <v>115</v>
      </c>
      <c r="V4" s="7" t="s">
        <v>116</v>
      </c>
      <c r="W4" s="8"/>
      <c r="X4" s="8"/>
    </row>
    <row r="5" spans="1:22" ht="14.25">
      <c r="A5" s="12" t="s">
        <v>47</v>
      </c>
      <c r="B5" s="13">
        <v>6500</v>
      </c>
      <c r="C5" s="13">
        <f>65*'[2]ΣΥΣΤΑΣΗ ΤΡΟΦΙΜΩΝ'!B6</f>
        <v>23387</v>
      </c>
      <c r="D5" s="13">
        <f>65*'[2]ΣΥΣΤΑΣΗ ΤΡΟΦΙΜΩΝ'!C6</f>
        <v>910</v>
      </c>
      <c r="E5" s="13">
        <f>65*'[2]ΣΥΣΤΑΣΗ ΤΡΟΦΙΜΩΝ'!D6</f>
        <v>4894.5</v>
      </c>
      <c r="F5" s="13">
        <f>65*'[2]ΣΥΣΤΑΣΗ ΤΡΟΦΙΜΩΝ'!E6</f>
        <v>747.5</v>
      </c>
      <c r="G5" s="13">
        <f>65*'[2]ΣΥΣΤΑΣΗ ΤΡΟΦΙΜΩΝ'!F6</f>
        <v>91</v>
      </c>
      <c r="H5" s="13">
        <f>65*'[2]ΣΥΣΤΑΣΗ ΤΡΟΦΙΜΩΝ'!G6</f>
        <v>240.5</v>
      </c>
      <c r="I5" s="13">
        <f>65*'[2]ΣΥΣΤΑΣΗ ΤΡΟΦΙΜΩΝ'!H6</f>
        <v>0</v>
      </c>
      <c r="J5" s="13">
        <f>65*'[2]ΣΥΣΤΑΣΗ ΤΡΟΦΙΜΩΝ'!I6</f>
        <v>4803.5</v>
      </c>
      <c r="K5" s="13">
        <f>65*'[2]ΣΥΣΤΑΣΗ ΤΡΟΦΙΜΩΝ'!J6</f>
        <v>91</v>
      </c>
      <c r="L5" s="13">
        <f>65*'[2]ΣΥΣΤΑΣΗ ΤΡΟΦΙΜΩΝ'!K6</f>
        <v>975</v>
      </c>
      <c r="M5" s="13">
        <f>65*'[2]ΣΥΣΤΑΣΗ ΤΡΟΦΙΜΩΝ'!L6</f>
        <v>7800</v>
      </c>
      <c r="N5" s="13">
        <f>65*'[2]ΣΥΣΤΑΣΗ ΤΡΟΦΙΜΩΝ'!M6</f>
        <v>2015</v>
      </c>
      <c r="O5" s="13">
        <f>65*'[2]ΣΥΣΤΑΣΗ ΤΡΟΦΙΜΩΝ'!N6</f>
        <v>0</v>
      </c>
      <c r="P5" s="13">
        <f>65*'[2]ΣΥΣΤΑΣΗ ΤΡΟΦΙΜΩΝ'!O6</f>
        <v>0</v>
      </c>
      <c r="Q5" s="13">
        <f>65*'[2]ΣΥΣΤΑΣΗ ΤΡΟΦΙΜΩΝ'!P6</f>
        <v>195</v>
      </c>
      <c r="R5" s="13">
        <f>65*'[2]ΣΥΣΤΑΣΗ ΤΡΟΦΙΜΩΝ'!Q6</f>
        <v>8450</v>
      </c>
      <c r="S5" s="13">
        <f>65*'[2]ΣΥΣΤΑΣΗ ΤΡΟΦΙΜΩΝ'!R6</f>
        <v>97.5</v>
      </c>
      <c r="T5" s="13">
        <f>65*'[2]ΣΥΣΤΑΣΗ ΤΡΟΦΙΜΩΝ'!S6</f>
        <v>58.5</v>
      </c>
      <c r="U5" s="13">
        <f>65*'[2]ΣΥΣΤΑΣΗ ΤΡΟΦΙΜΩΝ'!T6</f>
        <v>11.7</v>
      </c>
      <c r="V5" s="14">
        <f>65*'[2]ΣΥΣΤΑΣΗ ΤΡΟΦΙΜΩΝ'!U6</f>
        <v>2730</v>
      </c>
    </row>
    <row r="6" spans="1:22" ht="28.5">
      <c r="A6" s="15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6"/>
    </row>
    <row r="7" spans="1:22" ht="14.25">
      <c r="A7" s="15" t="s">
        <v>45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6"/>
    </row>
    <row r="8" spans="1:22" ht="14.25">
      <c r="A8" s="15" t="s">
        <v>44</v>
      </c>
      <c r="B8" s="11">
        <v>600</v>
      </c>
      <c r="C8" s="11">
        <f>6*'[2]ΣΥΣΤΑΣΗ ΤΡΟΦΙΜΩΝ'!B27</f>
        <v>2520</v>
      </c>
      <c r="D8" s="11" t="s">
        <v>24</v>
      </c>
      <c r="E8" s="11">
        <f>6*'[2]ΣΥΣΤΑΣΗ ΤΡΟΦΙΜΩΝ'!D27</f>
        <v>630</v>
      </c>
      <c r="F8" s="11" t="s">
        <v>24</v>
      </c>
      <c r="G8" s="11">
        <f>6*'[2]ΣΥΣΤΑΣΗ ΤΡΟΦΙΜΩΝ'!F27</f>
        <v>0</v>
      </c>
      <c r="H8" s="11">
        <f>6*'[2]ΣΥΣΤΑΣΗ ΤΡΟΦΙΜΩΝ'!G27</f>
        <v>0</v>
      </c>
      <c r="I8" s="11">
        <f>6*'[2]ΣΥΣΤΑΣΗ ΤΡΟΦΙΜΩΝ'!H27</f>
        <v>0</v>
      </c>
      <c r="J8" s="11">
        <f>6*'[2]ΣΥΣΤΑΣΗ ΤΡΟΦΙΜΩΝ'!I27</f>
        <v>0</v>
      </c>
      <c r="K8" s="11">
        <f>6*'[2]ΣΥΣΤΑΣΗ ΤΡΟΦΙΜΩΝ'!J27</f>
        <v>630</v>
      </c>
      <c r="L8" s="11">
        <f>6*'[2]ΣΥΣΤΑΣΗ ΤΡΟΦΙΜΩΝ'!K27</f>
        <v>12</v>
      </c>
      <c r="M8" s="11" t="s">
        <v>24</v>
      </c>
      <c r="N8" s="11" t="s">
        <v>24</v>
      </c>
      <c r="O8" s="11">
        <f>6*'[2]ΣΥΣΤΑΣΗ ΤΡΟΦΙΜΩΝ'!N27</f>
        <v>0</v>
      </c>
      <c r="P8" s="11">
        <f>6*'[2]ΣΥΣΤΑΣΗ ΤΡΟΦΙΜΩΝ'!O27</f>
        <v>0</v>
      </c>
      <c r="Q8" s="11" t="s">
        <v>24</v>
      </c>
      <c r="R8" s="11">
        <f>6*'[2]ΣΥΣΤΑΣΗ ΤΡΟΦΙΜΩΝ'!Q27</f>
        <v>12</v>
      </c>
      <c r="S8" s="11" t="s">
        <v>24</v>
      </c>
      <c r="T8" s="11">
        <f>6*'[2]ΣΥΣΤΑΣΗ ΤΡΟΦΙΜΩΝ'!S27</f>
        <v>1.2000000000000002</v>
      </c>
      <c r="U8" s="11">
        <f>6*'[2]ΣΥΣΤΑΣΗ ΤΡΟΦΙΜΩΝ'!T27</f>
        <v>0.12</v>
      </c>
      <c r="V8" s="16" t="s">
        <v>24</v>
      </c>
    </row>
    <row r="9" spans="1:22" ht="14.25">
      <c r="A9" s="15" t="s">
        <v>43</v>
      </c>
      <c r="B9" s="11">
        <v>3250</v>
      </c>
      <c r="C9" s="11"/>
      <c r="D9" s="11">
        <v>3250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6"/>
    </row>
    <row r="10" spans="1:22" ht="14.25">
      <c r="A10" s="17" t="s">
        <v>2</v>
      </c>
      <c r="B10" s="11">
        <f aca="true" t="shared" si="0" ref="B10:V10">SUM(B5:B9)</f>
        <v>10350</v>
      </c>
      <c r="C10" s="11">
        <f t="shared" si="0"/>
        <v>25907</v>
      </c>
      <c r="D10" s="11">
        <f t="shared" si="0"/>
        <v>4160</v>
      </c>
      <c r="E10" s="11">
        <f t="shared" si="0"/>
        <v>5524.5</v>
      </c>
      <c r="F10" s="11">
        <f t="shared" si="0"/>
        <v>747.5</v>
      </c>
      <c r="G10" s="11">
        <f t="shared" si="0"/>
        <v>91</v>
      </c>
      <c r="H10" s="11">
        <f t="shared" si="0"/>
        <v>240.5</v>
      </c>
      <c r="I10" s="11">
        <f t="shared" si="0"/>
        <v>0</v>
      </c>
      <c r="J10" s="11">
        <f t="shared" si="0"/>
        <v>4803.5</v>
      </c>
      <c r="K10" s="11">
        <f t="shared" si="0"/>
        <v>721</v>
      </c>
      <c r="L10" s="11">
        <f t="shared" si="0"/>
        <v>987</v>
      </c>
      <c r="M10" s="11">
        <f t="shared" si="0"/>
        <v>7800</v>
      </c>
      <c r="N10" s="11">
        <f t="shared" si="0"/>
        <v>2015</v>
      </c>
      <c r="O10" s="11">
        <f t="shared" si="0"/>
        <v>0</v>
      </c>
      <c r="P10" s="11">
        <f t="shared" si="0"/>
        <v>0</v>
      </c>
      <c r="Q10" s="11">
        <f t="shared" si="0"/>
        <v>195</v>
      </c>
      <c r="R10" s="11">
        <f t="shared" si="0"/>
        <v>8462</v>
      </c>
      <c r="S10" s="11">
        <f t="shared" si="0"/>
        <v>97.5</v>
      </c>
      <c r="T10" s="11">
        <f t="shared" si="0"/>
        <v>59.7</v>
      </c>
      <c r="U10" s="11">
        <f t="shared" si="0"/>
        <v>11.819999999999999</v>
      </c>
      <c r="V10" s="16">
        <f t="shared" si="0"/>
        <v>2730</v>
      </c>
    </row>
    <row r="11" spans="1:22" ht="28.5">
      <c r="A11" s="17" t="s">
        <v>1</v>
      </c>
      <c r="B11" s="11">
        <v>100</v>
      </c>
      <c r="C11" s="11">
        <f aca="true" t="shared" si="1" ref="C11:V11">100*C10/$B$10</f>
        <v>250.30917874396135</v>
      </c>
      <c r="D11" s="11">
        <f t="shared" si="1"/>
        <v>40.193236714975846</v>
      </c>
      <c r="E11" s="11">
        <f t="shared" si="1"/>
        <v>53.3768115942029</v>
      </c>
      <c r="F11" s="11">
        <f t="shared" si="1"/>
        <v>7.222222222222222</v>
      </c>
      <c r="G11" s="11">
        <f t="shared" si="1"/>
        <v>0.8792270531400966</v>
      </c>
      <c r="H11" s="11">
        <f t="shared" si="1"/>
        <v>2.323671497584541</v>
      </c>
      <c r="I11" s="11">
        <f t="shared" si="1"/>
        <v>0</v>
      </c>
      <c r="J11" s="11">
        <f t="shared" si="1"/>
        <v>46.410628019323674</v>
      </c>
      <c r="K11" s="11">
        <f t="shared" si="1"/>
        <v>6.966183574879227</v>
      </c>
      <c r="L11" s="11">
        <f t="shared" si="1"/>
        <v>9.53623188405797</v>
      </c>
      <c r="M11" s="11">
        <f t="shared" si="1"/>
        <v>75.3623188405797</v>
      </c>
      <c r="N11" s="11">
        <f t="shared" si="1"/>
        <v>19.468599033816425</v>
      </c>
      <c r="O11" s="11">
        <f t="shared" si="1"/>
        <v>0</v>
      </c>
      <c r="P11" s="11">
        <f t="shared" si="1"/>
        <v>0</v>
      </c>
      <c r="Q11" s="11">
        <f t="shared" si="1"/>
        <v>1.8840579710144927</v>
      </c>
      <c r="R11" s="11">
        <f t="shared" si="1"/>
        <v>81.7584541062802</v>
      </c>
      <c r="S11" s="11">
        <f t="shared" si="1"/>
        <v>0.9420289855072463</v>
      </c>
      <c r="T11" s="11">
        <f t="shared" si="1"/>
        <v>0.5768115942028985</v>
      </c>
      <c r="U11" s="11">
        <f t="shared" si="1"/>
        <v>0.11420289855072462</v>
      </c>
      <c r="V11" s="16">
        <f t="shared" si="1"/>
        <v>26.3768115942029</v>
      </c>
    </row>
    <row r="12" spans="1:22" ht="42.75">
      <c r="A12" s="18" t="s">
        <v>0</v>
      </c>
      <c r="B12" s="19">
        <v>130</v>
      </c>
      <c r="C12" s="19">
        <f aca="true" t="shared" si="2" ref="C12:V12">130*C11/100</f>
        <v>325.40193236714975</v>
      </c>
      <c r="D12" s="19">
        <f t="shared" si="2"/>
        <v>52.2512077294686</v>
      </c>
      <c r="E12" s="19">
        <f t="shared" si="2"/>
        <v>69.38985507246377</v>
      </c>
      <c r="F12" s="19">
        <f t="shared" si="2"/>
        <v>9.38888888888889</v>
      </c>
      <c r="G12" s="19">
        <f t="shared" si="2"/>
        <v>1.1429951690821256</v>
      </c>
      <c r="H12" s="19">
        <f t="shared" si="2"/>
        <v>3.0207729468599034</v>
      </c>
      <c r="I12" s="19">
        <f t="shared" si="2"/>
        <v>0</v>
      </c>
      <c r="J12" s="19">
        <f t="shared" si="2"/>
        <v>60.33381642512077</v>
      </c>
      <c r="K12" s="19">
        <f t="shared" si="2"/>
        <v>9.056038647342994</v>
      </c>
      <c r="L12" s="19">
        <f t="shared" si="2"/>
        <v>12.397101449275363</v>
      </c>
      <c r="M12" s="19">
        <f t="shared" si="2"/>
        <v>97.97101449275362</v>
      </c>
      <c r="N12" s="19">
        <f t="shared" si="2"/>
        <v>25.30917874396135</v>
      </c>
      <c r="O12" s="19">
        <f t="shared" si="2"/>
        <v>0</v>
      </c>
      <c r="P12" s="19">
        <f t="shared" si="2"/>
        <v>0</v>
      </c>
      <c r="Q12" s="19">
        <f t="shared" si="2"/>
        <v>2.449275362318841</v>
      </c>
      <c r="R12" s="19">
        <f t="shared" si="2"/>
        <v>106.28599033816427</v>
      </c>
      <c r="S12" s="19">
        <f t="shared" si="2"/>
        <v>1.2246376811594204</v>
      </c>
      <c r="T12" s="19">
        <f t="shared" si="2"/>
        <v>0.7498550724637681</v>
      </c>
      <c r="U12" s="19">
        <f t="shared" si="2"/>
        <v>0.148463768115942</v>
      </c>
      <c r="V12" s="20">
        <f t="shared" si="2"/>
        <v>34.28985507246377</v>
      </c>
    </row>
    <row r="13" spans="25:47" ht="14.25"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6" spans="1:24" ht="45">
      <c r="A16" s="4"/>
      <c r="B16" s="5" t="s">
        <v>82</v>
      </c>
      <c r="C16" s="6" t="s">
        <v>83</v>
      </c>
      <c r="D16" s="6" t="s">
        <v>84</v>
      </c>
      <c r="E16" s="6" t="s">
        <v>18</v>
      </c>
      <c r="F16" s="6" t="s">
        <v>85</v>
      </c>
      <c r="G16" s="6" t="s">
        <v>86</v>
      </c>
      <c r="H16" s="6" t="s">
        <v>87</v>
      </c>
      <c r="I16" s="6" t="s">
        <v>88</v>
      </c>
      <c r="J16" s="6" t="s">
        <v>89</v>
      </c>
      <c r="K16" s="6" t="s">
        <v>90</v>
      </c>
      <c r="L16" s="6" t="s">
        <v>91</v>
      </c>
      <c r="M16" s="6" t="s">
        <v>92</v>
      </c>
      <c r="N16" s="6" t="s">
        <v>17</v>
      </c>
      <c r="O16" s="6" t="s">
        <v>16</v>
      </c>
      <c r="P16" s="6" t="s">
        <v>15</v>
      </c>
      <c r="Q16" s="6" t="s">
        <v>14</v>
      </c>
      <c r="R16" s="6" t="s">
        <v>13</v>
      </c>
      <c r="S16" s="6" t="s">
        <v>93</v>
      </c>
      <c r="T16" s="6" t="s">
        <v>94</v>
      </c>
      <c r="U16" s="7" t="s">
        <v>95</v>
      </c>
      <c r="V16" s="8"/>
      <c r="W16" s="8"/>
      <c r="X16" s="8"/>
    </row>
    <row r="17" spans="1:21" ht="14.25">
      <c r="A17" s="12" t="s">
        <v>47</v>
      </c>
      <c r="B17" s="13">
        <f>65*'[2]ΣΥΣΤΑΣΗ ΤΡΟΦΙΜΩΝ'!V6</f>
        <v>0</v>
      </c>
      <c r="C17" s="13">
        <f>65*'[2]ΣΥΣΤΑΣΗ ΤΡΟΦΙΜΩΝ'!W6*0.8</f>
        <v>5.2</v>
      </c>
      <c r="D17" s="13">
        <f>65*'[2]ΣΥΣΤΑΣΗ ΤΡΟΦΙΜΩΝ'!X6*0.9</f>
        <v>1.755</v>
      </c>
      <c r="E17" s="13">
        <f>65*'[2]ΣΥΣΤΑΣΗ ΤΡΟΦΙΜΩΝ'!Y6</f>
        <v>0</v>
      </c>
      <c r="F17" s="13">
        <f>65*'[2]ΣΥΣΤΑΣΗ ΤΡΟΦΙΜΩΝ'!Z6*0.9</f>
        <v>40.95</v>
      </c>
      <c r="G17" s="13">
        <f>65*'[2]ΣΥΣΤΑΣΗ ΤΡΟΦΙΜΩΝ'!AA6</f>
        <v>9.75</v>
      </c>
      <c r="H17" s="13">
        <f>65*'[2]ΣΥΣΤΑΣΗ ΤΡΟΦΙΜΩΝ'!AB6</f>
        <v>0</v>
      </c>
      <c r="I17" s="13">
        <f>65*'[2]ΣΥΣΤΑΣΗ ΤΡΟΦΙΜΩΝ'!AC6</f>
        <v>2015</v>
      </c>
      <c r="J17" s="13">
        <f>65*'[2]ΣΥΣΤΑΣΗ ΤΡΟΦΙΜΩΝ'!AD6*0.7</f>
        <v>0</v>
      </c>
      <c r="K17" s="13">
        <f>65*'[2]ΣΥΣΤΑΣΗ ΤΡΟΦΙΜΩΝ'!AE6</f>
        <v>0</v>
      </c>
      <c r="L17" s="13">
        <f>65*'[2]ΣΥΣΤΑΣΗ ΤΡΟΦΙΜΩΝ'!AF6</f>
        <v>0</v>
      </c>
      <c r="M17" s="13">
        <f>65*'[2]ΣΥΣΤΑΣΗ ΤΡΟΦΙΜΩΝ'!AG6</f>
        <v>19.5</v>
      </c>
      <c r="N17" s="13">
        <f>'[2]ΣΥΣΤΑΣΗ ΤΡΟΦΙΜΩΝ'!AH6</f>
        <v>3.501945525291829</v>
      </c>
      <c r="O17" s="13">
        <f>'[2]ΣΥΣΤΑΣΗ ΤΡΟΦΙΜΩΝ'!AI6</f>
        <v>12.784880489160644</v>
      </c>
      <c r="P17" s="13">
        <f>'[2]ΣΥΣΤΑΣΗ ΤΡΟΦΙΜΩΝ'!AJ6</f>
        <v>83.71317398554753</v>
      </c>
      <c r="Q17" s="13">
        <f>'[2]ΣΥΣΤΑΣΗ ΤΡΟΦΙΜΩΝ'!AK6</f>
        <v>0.500277932184547</v>
      </c>
      <c r="R17" s="13">
        <f>'[2]ΣΥΣΤΑΣΗ ΤΡΟΦΙΜΩΝ'!AL6</f>
        <v>1.556420233463035</v>
      </c>
      <c r="S17" s="13">
        <f>65*'[2]ΣΥΣΤΑΣΗ ΤΡΟΦΙΜΩΝ'!AM6</f>
        <v>13</v>
      </c>
      <c r="T17" s="13">
        <f>65*'[2]ΣΥΣΤΑΣΗ ΤΡΟΦΙΜΩΝ'!AN6</f>
        <v>6.5</v>
      </c>
      <c r="U17" s="14">
        <f>65*'[2]ΣΥΣΤΑΣΗ ΤΡΟΦΙΜΩΝ'!AO6</f>
        <v>39</v>
      </c>
    </row>
    <row r="18" spans="1:21" ht="28.5">
      <c r="A18" s="15" t="s">
        <v>46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6"/>
    </row>
    <row r="19" spans="1:21" ht="14.25">
      <c r="A19" s="15" t="s">
        <v>45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6"/>
    </row>
    <row r="20" spans="1:21" ht="14.25">
      <c r="A20" s="15" t="s">
        <v>44</v>
      </c>
      <c r="B20" s="11" t="s">
        <v>24</v>
      </c>
      <c r="C20" s="11">
        <f>6*'[2]ΣΥΣΤΑΣΗ ΤΡΟΦΙΜΩΝ'!W27</f>
        <v>0</v>
      </c>
      <c r="D20" s="11">
        <f>6*'[2]ΣΥΣΤΑΣΗ ΤΡΟΦΙΜΩΝ'!X27</f>
        <v>0</v>
      </c>
      <c r="E20" s="11">
        <f>6*'[2]ΣΥΣΤΑΣΗ ΤΡΟΦΙΜΩΝ'!Y27</f>
        <v>0</v>
      </c>
      <c r="F20" s="11">
        <f>6*'[2]ΣΥΣΤΑΣΗ ΤΡΟΦΙΜΩΝ'!Z27</f>
        <v>0</v>
      </c>
      <c r="G20" s="11">
        <f>6*'[2]ΣΥΣΤΑΣΗ ΤΡΟΦΙΜΩΝ'!AA27</f>
        <v>0</v>
      </c>
      <c r="H20" s="11">
        <f>6*'[2]ΣΥΣΤΑΣΗ ΤΡΟΦΙΜΩΝ'!AB27</f>
        <v>0</v>
      </c>
      <c r="I20" s="11">
        <f>6*'[2]ΣΥΣΤΑΣΗ ΤΡΟΦΙΜΩΝ'!AC27</f>
        <v>0</v>
      </c>
      <c r="J20" s="11">
        <f>6*'[2]ΣΥΣΤΑΣΗ ΤΡΟΦΙΜΩΝ'!AD27</f>
        <v>0</v>
      </c>
      <c r="K20" s="11">
        <f>6*'[2]ΣΥΣΤΑΣΗ ΤΡΟΦΙΜΩΝ'!AE27</f>
        <v>0</v>
      </c>
      <c r="L20" s="11">
        <f>6*'[2]ΣΥΣΤΑΣΗ ΤΡΟΦΙΜΩΝ'!AF27</f>
        <v>0</v>
      </c>
      <c r="M20" s="11">
        <f>6*'[2]ΣΥΣΤΑΣΗ ΤΡΟΦΙΜΩΝ'!AG27</f>
        <v>0</v>
      </c>
      <c r="N20" s="11">
        <f>'[2]ΣΥΣΤΑΣΗ ΤΡΟΦΙΜΩΝ'!AH27</f>
        <v>0</v>
      </c>
      <c r="O20" s="11">
        <v>0</v>
      </c>
      <c r="P20" s="11">
        <f>'[2]ΣΥΣΤΑΣΗ ΤΡΟΦΙΜΩΝ'!AJ27</f>
        <v>100</v>
      </c>
      <c r="Q20" s="11">
        <f>'[2]ΣΥΣΤΑΣΗ ΤΡΟΦΙΜΩΝ'!AK27</f>
        <v>0</v>
      </c>
      <c r="R20" s="11">
        <f>'[2]ΣΥΣΤΑΣΗ ΤΡΟΦΙΜΩΝ'!AL27</f>
        <v>100</v>
      </c>
      <c r="S20" s="11">
        <f>6*'[2]ΣΥΣΤΑΣΗ ΤΡΟΦΙΜΩΝ'!AM27</f>
        <v>0</v>
      </c>
      <c r="T20" s="11">
        <f>6*'[2]ΣΥΣΤΑΣΗ ΤΡΟΦΙΜΩΝ'!AN27</f>
        <v>0</v>
      </c>
      <c r="U20" s="16">
        <f>6*'[2]ΣΥΣΤΑΣΗ ΤΡΟΦΙΜΩΝ'!AO27</f>
        <v>0</v>
      </c>
    </row>
    <row r="21" spans="1:21" ht="14.25">
      <c r="A21" s="15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6"/>
    </row>
    <row r="22" spans="1:21" ht="14.25">
      <c r="A22" s="17" t="s">
        <v>2</v>
      </c>
      <c r="B22" s="11">
        <f aca="true" t="shared" si="3" ref="B22:M22">SUM(B17:B21)</f>
        <v>0</v>
      </c>
      <c r="C22" s="11">
        <f t="shared" si="3"/>
        <v>5.2</v>
      </c>
      <c r="D22" s="11">
        <f t="shared" si="3"/>
        <v>1.755</v>
      </c>
      <c r="E22" s="11">
        <f t="shared" si="3"/>
        <v>0</v>
      </c>
      <c r="F22" s="11">
        <f t="shared" si="3"/>
        <v>40.95</v>
      </c>
      <c r="G22" s="11">
        <f t="shared" si="3"/>
        <v>9.75</v>
      </c>
      <c r="H22" s="11">
        <f t="shared" si="3"/>
        <v>0</v>
      </c>
      <c r="I22" s="11">
        <f t="shared" si="3"/>
        <v>2015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19.5</v>
      </c>
      <c r="N22" s="10">
        <f>9*G10*100/C10</f>
        <v>3.1613077546609025</v>
      </c>
      <c r="O22" s="10">
        <f>4*F10*100/C10</f>
        <v>11.541282278920756</v>
      </c>
      <c r="P22" s="10">
        <f>4*E10*100/C10</f>
        <v>85.29740996641834</v>
      </c>
      <c r="Q22" s="11">
        <f>9*S22*100/C10</f>
        <v>0.4516153935229861</v>
      </c>
      <c r="R22" s="11">
        <f>4*K10*100/C10</f>
        <v>11.132126452310187</v>
      </c>
      <c r="S22" s="11">
        <f>SUM(S17:S21)</f>
        <v>13</v>
      </c>
      <c r="T22" s="11">
        <f>SUM(T17:T21)</f>
        <v>6.5</v>
      </c>
      <c r="U22" s="16">
        <f>SUM(U17:U21)</f>
        <v>39</v>
      </c>
    </row>
    <row r="23" spans="1:21" ht="28.5">
      <c r="A23" s="17" t="s">
        <v>1</v>
      </c>
      <c r="B23" s="11">
        <f aca="true" t="shared" si="4" ref="B23:M23">100*B22/$B$10</f>
        <v>0</v>
      </c>
      <c r="C23" s="11">
        <f t="shared" si="4"/>
        <v>0.050241545893719805</v>
      </c>
      <c r="D23" s="11">
        <f t="shared" si="4"/>
        <v>0.016956521739130436</v>
      </c>
      <c r="E23" s="11">
        <f t="shared" si="4"/>
        <v>0</v>
      </c>
      <c r="F23" s="11">
        <f t="shared" si="4"/>
        <v>0.3956521739130435</v>
      </c>
      <c r="G23" s="11">
        <f t="shared" si="4"/>
        <v>0.09420289855072464</v>
      </c>
      <c r="H23" s="11">
        <f t="shared" si="4"/>
        <v>0</v>
      </c>
      <c r="I23" s="11">
        <f t="shared" si="4"/>
        <v>19.468599033816425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0.18840579710144928</v>
      </c>
      <c r="N23" s="11"/>
      <c r="O23" s="11"/>
      <c r="P23" s="11"/>
      <c r="Q23" s="11"/>
      <c r="R23" s="11"/>
      <c r="S23" s="11">
        <f>100*S22/$B$10</f>
        <v>0.12560386473429952</v>
      </c>
      <c r="T23" s="11">
        <f>100*T22/$B$10</f>
        <v>0.06280193236714976</v>
      </c>
      <c r="U23" s="16">
        <f>100*U22/$B$10</f>
        <v>0.37681159420289856</v>
      </c>
    </row>
    <row r="24" spans="1:21" ht="42.75">
      <c r="A24" s="18" t="s">
        <v>0</v>
      </c>
      <c r="B24" s="19">
        <f aca="true" t="shared" si="5" ref="B24:M24">130*B23/100</f>
        <v>0</v>
      </c>
      <c r="C24" s="19">
        <f t="shared" si="5"/>
        <v>0.06531400966183575</v>
      </c>
      <c r="D24" s="19">
        <f t="shared" si="5"/>
        <v>0.022043478260869567</v>
      </c>
      <c r="E24" s="19">
        <f t="shared" si="5"/>
        <v>0</v>
      </c>
      <c r="F24" s="19">
        <f t="shared" si="5"/>
        <v>0.5143478260869565</v>
      </c>
      <c r="G24" s="19">
        <f t="shared" si="5"/>
        <v>0.12246376811594203</v>
      </c>
      <c r="H24" s="19">
        <f t="shared" si="5"/>
        <v>0</v>
      </c>
      <c r="I24" s="19">
        <f t="shared" si="5"/>
        <v>25.30917874396135</v>
      </c>
      <c r="J24" s="19">
        <f t="shared" si="5"/>
        <v>0</v>
      </c>
      <c r="K24" s="19">
        <f t="shared" si="5"/>
        <v>0</v>
      </c>
      <c r="L24" s="19">
        <f t="shared" si="5"/>
        <v>0</v>
      </c>
      <c r="M24" s="19">
        <f t="shared" si="5"/>
        <v>0.24492753623188407</v>
      </c>
      <c r="N24" s="19"/>
      <c r="O24" s="19"/>
      <c r="P24" s="19"/>
      <c r="Q24" s="19"/>
      <c r="R24" s="19"/>
      <c r="S24" s="19">
        <f>130*S23/100</f>
        <v>0.1632850241545894</v>
      </c>
      <c r="T24" s="19">
        <f>130*T23/100</f>
        <v>0.0816425120772947</v>
      </c>
      <c r="U24" s="20">
        <f>130*U23/100</f>
        <v>0.48985507246376814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XARA</dc:creator>
  <cp:keywords/>
  <dc:description/>
  <cp:lastModifiedBy>antonia</cp:lastModifiedBy>
  <dcterms:created xsi:type="dcterms:W3CDTF">2011-04-12T15:17:11Z</dcterms:created>
  <dcterms:modified xsi:type="dcterms:W3CDTF">2011-08-05T07:01:37Z</dcterms:modified>
  <cp:category/>
  <cp:version/>
  <cp:contentType/>
  <cp:contentStatus/>
</cp:coreProperties>
</file>